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Event Information" sheetId="2" r:id="rId2"/>
    <sheet name="Registration Trend" sheetId="3" r:id="rId3"/>
    <sheet name="Registration Type" sheetId="4" r:id="rId4"/>
    <sheet name="Registrant Details" sheetId="5" r:id="rId5"/>
  </sheets>
  <definedNames/>
  <calcPr fullCalcOnLoad="1"/>
</workbook>
</file>

<file path=xl/sharedStrings.xml><?xml version="1.0" encoding="utf-8"?>
<sst xmlns="http://schemas.openxmlformats.org/spreadsheetml/2006/main" count="2106" uniqueCount="885">
  <si>
    <t>Back to Table of Contents</t>
  </si>
  <si>
    <t>2024, Week 47</t>
  </si>
  <si>
    <t>2024, Week 48</t>
  </si>
  <si>
    <t>2024, Week 49</t>
  </si>
  <si>
    <t>2024, Week 50</t>
  </si>
  <si>
    <t>2024, Week 51</t>
  </si>
  <si>
    <t>2025, Week 01</t>
  </si>
  <si>
    <t>2025, Week 03</t>
  </si>
  <si>
    <t>2025, Week 04</t>
  </si>
  <si>
    <t>2025, Week 05</t>
  </si>
  <si>
    <t>2025, Week 06</t>
  </si>
  <si>
    <t>2025, Week 07</t>
  </si>
  <si>
    <t>2025, Week 08</t>
  </si>
  <si>
    <t>2025, Week 09</t>
  </si>
  <si>
    <t>2025, Week 10</t>
  </si>
  <si>
    <t>2025, Week 11</t>
  </si>
  <si>
    <t>2025, Week 12</t>
  </si>
  <si>
    <t>2025, Week 13</t>
  </si>
  <si>
    <t>2025, Week 14</t>
  </si>
  <si>
    <t>2025, Week 15</t>
  </si>
  <si>
    <t>2025, Week 16</t>
  </si>
  <si>
    <t>Last Registration Date</t>
  </si>
  <si>
    <t>Registrants</t>
  </si>
  <si>
    <t>Speaker</t>
  </si>
  <si>
    <t>General Attendee</t>
  </si>
  <si>
    <t>DWFI Faculty Fellows or Supported Students</t>
  </si>
  <si>
    <t>Higher Ed/NGOs/Government</t>
  </si>
  <si>
    <t>DWFI / NWC Staff</t>
  </si>
  <si>
    <t>Student or University of Nebraska Faculty / Staff</t>
  </si>
  <si>
    <t>DWFI Advisors</t>
  </si>
  <si>
    <t>Complimentary Admission</t>
  </si>
  <si>
    <t>Registration Type</t>
  </si>
  <si>
    <t>Registrant Details</t>
  </si>
  <si>
    <t>Yes</t>
  </si>
  <si>
    <t>Gary</t>
  </si>
  <si>
    <t>Richardson</t>
  </si>
  <si>
    <t>Lower Niobrara NRD</t>
  </si>
  <si>
    <t>In-Person Attendance</t>
  </si>
  <si>
    <t>Ali</t>
  </si>
  <si>
    <t>Ajaz</t>
  </si>
  <si>
    <t>Lindsay Corporation</t>
  </si>
  <si>
    <t>Dave</t>
  </si>
  <si>
    <t>Lambe</t>
  </si>
  <si>
    <t>02/17/2021</t>
  </si>
  <si>
    <t>Francisco</t>
  </si>
  <si>
    <t>Munoz-Arriola</t>
  </si>
  <si>
    <t>University of Nebraska-Lincoln</t>
  </si>
  <si>
    <t>Dan</t>
  </si>
  <si>
    <t>Uden</t>
  </si>
  <si>
    <t>Moises</t>
  </si>
  <si>
    <t>Schmidt</t>
  </si>
  <si>
    <t>AIBA</t>
  </si>
  <si>
    <t>Ralf</t>
  </si>
  <si>
    <t>Petersen</t>
  </si>
  <si>
    <t>Stockpile Hydration</t>
  </si>
  <si>
    <t>Zanib</t>
  </si>
  <si>
    <t>Al Razaq</t>
  </si>
  <si>
    <t>Jennie</t>
  </si>
  <si>
    <t>Barron</t>
  </si>
  <si>
    <t>Swedish University of Agricultural Sciences (SLU)</t>
  </si>
  <si>
    <t>Suri</t>
  </si>
  <si>
    <t>Appelt Martins</t>
  </si>
  <si>
    <t>AgroAppelt</t>
  </si>
  <si>
    <t>Jackie</t>
  </si>
  <si>
    <t>Ourada</t>
  </si>
  <si>
    <t>Nebraska Public Media</t>
  </si>
  <si>
    <t>Thalles</t>
  </si>
  <si>
    <t>Araujo Melo</t>
  </si>
  <si>
    <t>SENAR Agroindustry Program</t>
  </si>
  <si>
    <t>Rachael</t>
  </si>
  <si>
    <t>Herpel</t>
  </si>
  <si>
    <t>Daugherty Water for Food Global Institute</t>
  </si>
  <si>
    <t>Baktybek</t>
  </si>
  <si>
    <t>Duisebek</t>
  </si>
  <si>
    <t>Colorado State University</t>
  </si>
  <si>
    <t>Shohei</t>
  </si>
  <si>
    <t>Oguro</t>
  </si>
  <si>
    <t>Brian</t>
  </si>
  <si>
    <t>Bruckner</t>
  </si>
  <si>
    <t>Lower Elkhorn Natural Resources District</t>
  </si>
  <si>
    <t>Amy</t>
  </si>
  <si>
    <t>Kremen</t>
  </si>
  <si>
    <t>Colorado State University / Irrigation Innovation Consortium</t>
  </si>
  <si>
    <t>Barbara</t>
  </si>
  <si>
    <t>Schreiner</t>
  </si>
  <si>
    <t>Water Integrity Network</t>
  </si>
  <si>
    <t>Jessica</t>
  </si>
  <si>
    <t>Troell</t>
  </si>
  <si>
    <t>Environmental Law Institute</t>
  </si>
  <si>
    <t>Julian</t>
  </si>
  <si>
    <t>Silva Carvalho</t>
  </si>
  <si>
    <t>SEAPA Secretaria de Agricultura, Pecuária e Abastecimento de MG</t>
  </si>
  <si>
    <t>Robert</t>
  </si>
  <si>
    <t>Lawson</t>
  </si>
  <si>
    <t>USDA-NRCS</t>
  </si>
  <si>
    <t>Kelly</t>
  </si>
  <si>
    <t>Bruns</t>
  </si>
  <si>
    <t>University of Nebraska</t>
  </si>
  <si>
    <t>Rym</t>
  </si>
  <si>
    <t>Dahoun</t>
  </si>
  <si>
    <t>University of Nebraska Lincoln</t>
  </si>
  <si>
    <t>Andrew</t>
  </si>
  <si>
    <t>Moore</t>
  </si>
  <si>
    <t>Corteva Agriscience</t>
  </si>
  <si>
    <t>Michael</t>
  </si>
  <si>
    <t>Neale</t>
  </si>
  <si>
    <t>Fort Collins Utilities</t>
  </si>
  <si>
    <t>Tim</t>
  </si>
  <si>
    <t>Foster</t>
  </si>
  <si>
    <t>University of Manchester</t>
  </si>
  <si>
    <t>Brett</t>
  </si>
  <si>
    <t>Hampton</t>
  </si>
  <si>
    <t>Brett Hampton Photography</t>
  </si>
  <si>
    <t>Jay</t>
  </si>
  <si>
    <t>Reiners</t>
  </si>
  <si>
    <t>Sustainable Agriculture Solutions for Africa</t>
  </si>
  <si>
    <t>Pedro</t>
  </si>
  <si>
    <t>Serrajordia</t>
  </si>
  <si>
    <t>Ag4UP</t>
  </si>
  <si>
    <t>Moussa</t>
  </si>
  <si>
    <t>Guira</t>
  </si>
  <si>
    <t>Independent Contractor</t>
  </si>
  <si>
    <t>Ashish</t>
  </si>
  <si>
    <t>Masih</t>
  </si>
  <si>
    <t>DWFI</t>
  </si>
  <si>
    <t>Ed</t>
  </si>
  <si>
    <t>Prosser</t>
  </si>
  <si>
    <t>Scoular</t>
  </si>
  <si>
    <t>Erik</t>
  </si>
  <si>
    <t>Johnson</t>
  </si>
  <si>
    <t>LI-COR</t>
  </si>
  <si>
    <t>Larkin</t>
  </si>
  <si>
    <t>Powell</t>
  </si>
  <si>
    <t>School of Natural Resources, University of Nebraska-Lincoln</t>
  </si>
  <si>
    <t>Patricia</t>
  </si>
  <si>
    <t>Jimenez Beato</t>
  </si>
  <si>
    <t>FAO Dominican Republic</t>
  </si>
  <si>
    <t>Brea</t>
  </si>
  <si>
    <t>Hutchcraft-May</t>
  </si>
  <si>
    <t>Bayer CropScience LP</t>
  </si>
  <si>
    <t>Precious</t>
  </si>
  <si>
    <t>Amori</t>
  </si>
  <si>
    <t>Brandon</t>
  </si>
  <si>
    <t>Hunnicutt</t>
  </si>
  <si>
    <t>Hunnicutt Farms</t>
  </si>
  <si>
    <t>Nik</t>
  </si>
  <si>
    <t>Hamm</t>
  </si>
  <si>
    <t>Valmont Industries</t>
  </si>
  <si>
    <t>Mohsin</t>
  </si>
  <si>
    <t>Hafeez</t>
  </si>
  <si>
    <t>International Water Management Institute (IWMI)</t>
  </si>
  <si>
    <t>Tyler</t>
  </si>
  <si>
    <t>Martin</t>
  </si>
  <si>
    <t>NE Dept. of Natural Resources</t>
  </si>
  <si>
    <t>Marcos Geraldo</t>
  </si>
  <si>
    <t>Alves da Silva</t>
  </si>
  <si>
    <t>SEBRAE Minas Gerais</t>
  </si>
  <si>
    <t>Md Masudur</t>
  </si>
  <si>
    <t>Rahman</t>
  </si>
  <si>
    <t>Ashley</t>
  </si>
  <si>
    <t>Larson</t>
  </si>
  <si>
    <t>Midwest Dairy</t>
  </si>
  <si>
    <t>Mark</t>
  </si>
  <si>
    <t>Burbach</t>
  </si>
  <si>
    <t>Luciana</t>
  </si>
  <si>
    <t>Lorena</t>
  </si>
  <si>
    <t>iCrop Irrigation</t>
  </si>
  <si>
    <t>Javed</t>
  </si>
  <si>
    <t>Iqbal</t>
  </si>
  <si>
    <t>Hilda Andrea</t>
  </si>
  <si>
    <t>Loschi</t>
  </si>
  <si>
    <t>Sindicato dos Produtores Rurais de Montes Claros</t>
  </si>
  <si>
    <t>Claudia</t>
  </si>
  <si>
    <t>Ringler</t>
  </si>
  <si>
    <t>IFPRI</t>
  </si>
  <si>
    <t>Peter</t>
  </si>
  <si>
    <t>McCornick</t>
  </si>
  <si>
    <t>Daugherty Water for Food Global Institute (DWFI)</t>
  </si>
  <si>
    <t>Thomas</t>
  </si>
  <si>
    <t>Brison</t>
  </si>
  <si>
    <t>Mogens</t>
  </si>
  <si>
    <t>Bay</t>
  </si>
  <si>
    <t>Valmont Industries, Inc.</t>
  </si>
  <si>
    <t>Jacob</t>
  </si>
  <si>
    <t>Fritton</t>
  </si>
  <si>
    <t>The Nature Conservancy</t>
  </si>
  <si>
    <t>Arindam</t>
  </si>
  <si>
    <t>Malakar</t>
  </si>
  <si>
    <t>UNL</t>
  </si>
  <si>
    <t>Shubham</t>
  </si>
  <si>
    <t>Goswami</t>
  </si>
  <si>
    <t>Petra</t>
  </si>
  <si>
    <t>Schmitter</t>
  </si>
  <si>
    <t>International Water Management Institute</t>
  </si>
  <si>
    <t>Giovanni</t>
  </si>
  <si>
    <t>Piccinni</t>
  </si>
  <si>
    <t>Texas A&amp;M University, Texas Water Resources Institute</t>
  </si>
  <si>
    <t>Maxwell</t>
  </si>
  <si>
    <t>M Mudhara</t>
  </si>
  <si>
    <t>University of KwaZulu-Natal</t>
  </si>
  <si>
    <t>Derek</t>
  </si>
  <si>
    <t>Heeren</t>
  </si>
  <si>
    <t>Nick</t>
  </si>
  <si>
    <t>Brozovic</t>
  </si>
  <si>
    <t>Atiqullah</t>
  </si>
  <si>
    <t>Atif</t>
  </si>
  <si>
    <t>Crystal</t>
  </si>
  <si>
    <t>Powers</t>
  </si>
  <si>
    <t>Shannon</t>
  </si>
  <si>
    <t>Bartelt-Hunt</t>
  </si>
  <si>
    <t>Raphael</t>
  </si>
  <si>
    <t>Mthombeni</t>
  </si>
  <si>
    <t>Intuba</t>
  </si>
  <si>
    <t>Cory</t>
  </si>
  <si>
    <t>Armstrong</t>
  </si>
  <si>
    <t>University of Nebraska- Lincoln</t>
  </si>
  <si>
    <t>Roberto Cezar</t>
  </si>
  <si>
    <t>Souza Ribeiro</t>
  </si>
  <si>
    <t>Instituto de Meio Ambiente e Recursos Hídricos - INEMA</t>
  </si>
  <si>
    <t>uma</t>
  </si>
  <si>
    <t>lele</t>
  </si>
  <si>
    <t>formerWB</t>
  </si>
  <si>
    <t>Felicia</t>
  </si>
  <si>
    <t>Marcus</t>
  </si>
  <si>
    <t>Stanford University</t>
  </si>
  <si>
    <t>William</t>
  </si>
  <si>
    <t>Aderholdt</t>
  </si>
  <si>
    <t>Grand Farm</t>
  </si>
  <si>
    <t>Steve</t>
  </si>
  <si>
    <t>Melvin</t>
  </si>
  <si>
    <t>University of Nebraska, Lincoln</t>
  </si>
  <si>
    <t>Nicole</t>
  </si>
  <si>
    <t>Wall</t>
  </si>
  <si>
    <t>Olsson</t>
  </si>
  <si>
    <t>Seifeldin</t>
  </si>
  <si>
    <t>Hamad</t>
  </si>
  <si>
    <t>The Centre of Water Security Studies and Capacity Development</t>
  </si>
  <si>
    <t>Tika</t>
  </si>
  <si>
    <t>Gurung</t>
  </si>
  <si>
    <t>Rena</t>
  </si>
  <si>
    <t>Jones</t>
  </si>
  <si>
    <t>National Cancer Institute</t>
  </si>
  <si>
    <t>Glauciana</t>
  </si>
  <si>
    <t>Araujo</t>
  </si>
  <si>
    <t>Sammy</t>
  </si>
  <si>
    <t>Akasheh</t>
  </si>
  <si>
    <t>Dr. Kakha</t>
  </si>
  <si>
    <t>NADIRADZE</t>
  </si>
  <si>
    <t>AFRD Georgia</t>
  </si>
  <si>
    <t>Deshamithra</t>
  </si>
  <si>
    <t>Jayasekera</t>
  </si>
  <si>
    <t>Nathan</t>
  </si>
  <si>
    <t>Fortner</t>
  </si>
  <si>
    <t>East Gate Extension</t>
  </si>
  <si>
    <t>Andrea</t>
  </si>
  <si>
    <t>Basche</t>
  </si>
  <si>
    <t>Alessio</t>
  </si>
  <si>
    <t>Britto Siqueira</t>
  </si>
  <si>
    <t>Mounika</t>
  </si>
  <si>
    <t>Kudary</t>
  </si>
  <si>
    <t>University of Nebraska Medical Center</t>
  </si>
  <si>
    <t>Rimsha</t>
  </si>
  <si>
    <t>Hasan</t>
  </si>
  <si>
    <t>Ankit</t>
  </si>
  <si>
    <t>Chandra</t>
  </si>
  <si>
    <t>Danilo</t>
  </si>
  <si>
    <t>Julio Gatto</t>
  </si>
  <si>
    <t>COAGRIL Cooperativa Agrícola de Unaí</t>
  </si>
  <si>
    <t>Tafadzwa</t>
  </si>
  <si>
    <t>Mabhaudhi</t>
  </si>
  <si>
    <t>Martha</t>
  </si>
  <si>
    <t>Mamo</t>
  </si>
  <si>
    <t>Afruja</t>
  </si>
  <si>
    <t>Begum</t>
  </si>
  <si>
    <t>Ishani</t>
  </si>
  <si>
    <t>Lal</t>
  </si>
  <si>
    <t>Andrew Stiven</t>
  </si>
  <si>
    <t>Ortiz Balsero</t>
  </si>
  <si>
    <t>Thais</t>
  </si>
  <si>
    <t>Nascimento</t>
  </si>
  <si>
    <t>IRRIGANOR</t>
  </si>
  <si>
    <t>Daniel</t>
  </si>
  <si>
    <t>Blankenau</t>
  </si>
  <si>
    <t>CGP, Inc.</t>
  </si>
  <si>
    <t>Daran</t>
  </si>
  <si>
    <t>Rudnick</t>
  </si>
  <si>
    <t>Kansas State University</t>
  </si>
  <si>
    <t>Maria Emilia</t>
  </si>
  <si>
    <t>Alves</t>
  </si>
  <si>
    <t>Abid</t>
  </si>
  <si>
    <t>Karen Beatriz</t>
  </si>
  <si>
    <t>Peñate Trujillo</t>
  </si>
  <si>
    <t>Centro de Formacion Tierra Saludable Ameyalli</t>
  </si>
  <si>
    <t>Sahila</t>
  </si>
  <si>
    <t>Beegum</t>
  </si>
  <si>
    <t>Tracy</t>
  </si>
  <si>
    <t>Zink</t>
  </si>
  <si>
    <t>Sunny Heights, LLC</t>
  </si>
  <si>
    <t>Girma</t>
  </si>
  <si>
    <t>Birru</t>
  </si>
  <si>
    <t>USDA ARS</t>
  </si>
  <si>
    <t>Ruhiza Jean</t>
  </si>
  <si>
    <t>Boroto</t>
  </si>
  <si>
    <t>UN Food and Agriculture Organization (FAO)</t>
  </si>
  <si>
    <t>Marty</t>
  </si>
  <si>
    <t>Matlock</t>
  </si>
  <si>
    <t>University of Arkansas</t>
  </si>
  <si>
    <t>Kari</t>
  </si>
  <si>
    <t>Vigerstol</t>
  </si>
  <si>
    <t>Rislana Kanya</t>
  </si>
  <si>
    <t>Abdulazeez</t>
  </si>
  <si>
    <t>Cosmopolitan University Abuja</t>
  </si>
  <si>
    <t>Alexandrina</t>
  </si>
  <si>
    <t>Alves Machado</t>
  </si>
  <si>
    <t>PCA Ambiental</t>
  </si>
  <si>
    <t>Lily</t>
  </si>
  <si>
    <t>Robinson</t>
  </si>
  <si>
    <t>Lincoln Institute of Land Policy</t>
  </si>
  <si>
    <t>Ryan</t>
  </si>
  <si>
    <t>Anderson</t>
  </si>
  <si>
    <t>Craig</t>
  </si>
  <si>
    <t>Eiting</t>
  </si>
  <si>
    <t>Laura</t>
  </si>
  <si>
    <t>Nagengast</t>
  </si>
  <si>
    <t>Bruno</t>
  </si>
  <si>
    <t>Patias Lena</t>
  </si>
  <si>
    <t>University of Nebraska-Lincoln - Nebraska Extension</t>
  </si>
  <si>
    <t>Claudio</t>
  </si>
  <si>
    <t>Caamaño Velez</t>
  </si>
  <si>
    <t>Directorate of National Irrigation Technology of the Dominican Republic</t>
  </si>
  <si>
    <t>Mike</t>
  </si>
  <si>
    <t>Boehm</t>
  </si>
  <si>
    <t>University of Nebraska - Lincoln</t>
  </si>
  <si>
    <t>Ozan</t>
  </si>
  <si>
    <t>Ciftci</t>
  </si>
  <si>
    <t>Jim</t>
  </si>
  <si>
    <t>Schneider</t>
  </si>
  <si>
    <t>Chandan</t>
  </si>
  <si>
    <t>Kumar</t>
  </si>
  <si>
    <t>Anni</t>
  </si>
  <si>
    <t>Poetzl</t>
  </si>
  <si>
    <t>UNL Extension</t>
  </si>
  <si>
    <t>Stenberg</t>
  </si>
  <si>
    <t>Tess</t>
  </si>
  <si>
    <t>Russo</t>
  </si>
  <si>
    <t>Gates Foundation</t>
  </si>
  <si>
    <t>Kristina</t>
  </si>
  <si>
    <t>Kintziger</t>
  </si>
  <si>
    <t>Bincy</t>
  </si>
  <si>
    <t>Sunny</t>
  </si>
  <si>
    <t>University of Nebraska Omaha</t>
  </si>
  <si>
    <t>anne</t>
  </si>
  <si>
    <t>hubbard</t>
  </si>
  <si>
    <t>Claire m Hubbard fdn</t>
  </si>
  <si>
    <t>Dale</t>
  </si>
  <si>
    <t>Jacobson</t>
  </si>
  <si>
    <t>DD Consulting, LLC</t>
  </si>
  <si>
    <t>BURRA</t>
  </si>
  <si>
    <t>KARTHIK</t>
  </si>
  <si>
    <t>Italo</t>
  </si>
  <si>
    <t>Kinross Brasil Mineracao</t>
  </si>
  <si>
    <t>Sarah</t>
  </si>
  <si>
    <t>Abdalla</t>
  </si>
  <si>
    <t>University of Nebraska Lincoln, DWFIE</t>
  </si>
  <si>
    <t>Guillermo</t>
  </si>
  <si>
    <t>Balboa</t>
  </si>
  <si>
    <t>Yeyin</t>
  </si>
  <si>
    <t>Shi</t>
  </si>
  <si>
    <t>Biological Systems Engineering</t>
  </si>
  <si>
    <t>Paulo Cesar</t>
  </si>
  <si>
    <t>Vischi</t>
  </si>
  <si>
    <t>Be Consulting</t>
  </si>
  <si>
    <t>Sherry</t>
  </si>
  <si>
    <t>Vinton</t>
  </si>
  <si>
    <t>Nebraska Department of Agriculture</t>
  </si>
  <si>
    <t>Maria Isabel</t>
  </si>
  <si>
    <t>Finger</t>
  </si>
  <si>
    <t>AgroBravo</t>
  </si>
  <si>
    <t>Daren</t>
  </si>
  <si>
    <t>Redfearn</t>
  </si>
  <si>
    <t>Darryl</t>
  </si>
  <si>
    <t>Matthews</t>
  </si>
  <si>
    <t>Janet</t>
  </si>
  <si>
    <t>Means</t>
  </si>
  <si>
    <t>cristina</t>
  </si>
  <si>
    <t>gross</t>
  </si>
  <si>
    <t>aiba</t>
  </si>
  <si>
    <t>Asa B.</t>
  </si>
  <si>
    <t>Stone</t>
  </si>
  <si>
    <t>Yifan</t>
  </si>
  <si>
    <t>Wang</t>
  </si>
  <si>
    <t>McKinsey &amp; Company</t>
  </si>
  <si>
    <t>Mariana</t>
  </si>
  <si>
    <t>Pereira Ramos</t>
  </si>
  <si>
    <t>FAEMG Senar</t>
  </si>
  <si>
    <t>Smith</t>
  </si>
  <si>
    <t>Osmar Luiz</t>
  </si>
  <si>
    <t>Gomes</t>
  </si>
  <si>
    <t>Lorelei</t>
  </si>
  <si>
    <t>Cloud</t>
  </si>
  <si>
    <t>Southern Ute Tribe</t>
  </si>
  <si>
    <t>Hayes</t>
  </si>
  <si>
    <t>Richard</t>
  </si>
  <si>
    <t>Ferguson</t>
  </si>
  <si>
    <t>John</t>
  </si>
  <si>
    <t>Mick</t>
  </si>
  <si>
    <t>Imad</t>
  </si>
  <si>
    <t>Eujayl</t>
  </si>
  <si>
    <t>Sudan NextGen Organization-NGO, Omaha, NE</t>
  </si>
  <si>
    <t>Zach</t>
  </si>
  <si>
    <t>Kabelac</t>
  </si>
  <si>
    <t>Aperture</t>
  </si>
  <si>
    <t>Tricia</t>
  </si>
  <si>
    <t>Liedle</t>
  </si>
  <si>
    <t>Nebraska Water Center</t>
  </si>
  <si>
    <t>Katie</t>
  </si>
  <si>
    <t>Torpy</t>
  </si>
  <si>
    <t>The Nature Conservancy, Nebraska Program</t>
  </si>
  <si>
    <t>Abbie</t>
  </si>
  <si>
    <t>Raikes</t>
  </si>
  <si>
    <t>UNMC College of Public Health/ECD Measure</t>
  </si>
  <si>
    <t>Curtis</t>
  </si>
  <si>
    <t>Cude</t>
  </si>
  <si>
    <t>Water Insecurity Solutions LLC</t>
  </si>
  <si>
    <t>Karen</t>
  </si>
  <si>
    <t>Machado</t>
  </si>
  <si>
    <t>Neal</t>
  </si>
  <si>
    <t>Woollen</t>
  </si>
  <si>
    <t>NU-NSRI</t>
  </si>
  <si>
    <t>Nassib</t>
  </si>
  <si>
    <t>Mugwanya</t>
  </si>
  <si>
    <t>Fresh Harvest 365</t>
  </si>
  <si>
    <t>Andreas</t>
  </si>
  <si>
    <t>Hersaa</t>
  </si>
  <si>
    <t>A</t>
  </si>
  <si>
    <t>Rodolfo</t>
  </si>
  <si>
    <t>Mengarda</t>
  </si>
  <si>
    <t>SLC Agrícola</t>
  </si>
  <si>
    <t>Aaron</t>
  </si>
  <si>
    <t>Mittelstet</t>
  </si>
  <si>
    <t>Emie</t>
  </si>
  <si>
    <t>Yiannaka</t>
  </si>
  <si>
    <t>Mary Kay</t>
  </si>
  <si>
    <t>Provaznik</t>
  </si>
  <si>
    <t>Qu</t>
  </si>
  <si>
    <t>Wen</t>
  </si>
  <si>
    <t>UNIVERSITY OF NEBRASKA LINCOLN</t>
  </si>
  <si>
    <t>Daigh</t>
  </si>
  <si>
    <t>Ahmed</t>
  </si>
  <si>
    <t>Alayidi</t>
  </si>
  <si>
    <t>Britt</t>
  </si>
  <si>
    <t>Fossum</t>
  </si>
  <si>
    <t>Tala</t>
  </si>
  <si>
    <t>Awada</t>
  </si>
  <si>
    <t>Moaz</t>
  </si>
  <si>
    <t>Ishag</t>
  </si>
  <si>
    <t>Deuerling</t>
  </si>
  <si>
    <t>https://drought.unl.edu</t>
  </si>
  <si>
    <t>Eneas</t>
  </si>
  <si>
    <t>Porto</t>
  </si>
  <si>
    <t>Kelli</t>
  </si>
  <si>
    <t>Gribben</t>
  </si>
  <si>
    <t>Alex</t>
  </si>
  <si>
    <t>Boyce</t>
  </si>
  <si>
    <t>MRNRD</t>
  </si>
  <si>
    <t>Alakananda</t>
  </si>
  <si>
    <t>Mitra</t>
  </si>
  <si>
    <t>Nebraska Water Center, University of Nebraska-Lincoln</t>
  </si>
  <si>
    <t>Renata</t>
  </si>
  <si>
    <t>Rimsaite</t>
  </si>
  <si>
    <t>Osgood</t>
  </si>
  <si>
    <t>Columbia University</t>
  </si>
  <si>
    <t>Erin</t>
  </si>
  <si>
    <t>Haacker</t>
  </si>
  <si>
    <t>PAULO DE TARSO</t>
  </si>
  <si>
    <t>DE LARA PIRES</t>
  </si>
  <si>
    <t>Simepar</t>
  </si>
  <si>
    <t>Quinton</t>
  </si>
  <si>
    <t>Deppert</t>
  </si>
  <si>
    <t>Konstantinos</t>
  </si>
  <si>
    <t>Giannakas</t>
  </si>
  <si>
    <t>Saurabh</t>
  </si>
  <si>
    <t>Sharma</t>
  </si>
  <si>
    <t>Karrie</t>
  </si>
  <si>
    <t>Weber</t>
  </si>
  <si>
    <t>Patricio</t>
  </si>
  <si>
    <t>Grasssini</t>
  </si>
  <si>
    <t>Tiffany</t>
  </si>
  <si>
    <t>Heng-Moss</t>
  </si>
  <si>
    <t>Chittaranjan</t>
  </si>
  <si>
    <t>Ray</t>
  </si>
  <si>
    <t>Fabio</t>
  </si>
  <si>
    <t>Viotto</t>
  </si>
  <si>
    <t>Nicolas</t>
  </si>
  <si>
    <t>Quintana Ashwell</t>
  </si>
  <si>
    <t>Mississippi State University</t>
  </si>
  <si>
    <t>Elanore</t>
  </si>
  <si>
    <t>Decker</t>
  </si>
  <si>
    <t>Retired</t>
  </si>
  <si>
    <t>Matt</t>
  </si>
  <si>
    <t>Stellbauer</t>
  </si>
  <si>
    <t>Texas Water Resources Institute</t>
  </si>
  <si>
    <t>David</t>
  </si>
  <si>
    <t>Roberts</t>
  </si>
  <si>
    <t>Greice Kelli</t>
  </si>
  <si>
    <t>Fontana Klein</t>
  </si>
  <si>
    <t>SPRLEM (Sindicato dos Produtores Rurais de Luís Eduardo Magalhães - BA e região)</t>
  </si>
  <si>
    <t>Clay</t>
  </si>
  <si>
    <t>Pope</t>
  </si>
  <si>
    <t>NC036</t>
  </si>
  <si>
    <t>Aldo Jose</t>
  </si>
  <si>
    <t>Vidor Neto</t>
  </si>
  <si>
    <t>Rudolph</t>
  </si>
  <si>
    <t>The Combine</t>
  </si>
  <si>
    <t>Lyndsey</t>
  </si>
  <si>
    <t>Dowell</t>
  </si>
  <si>
    <t>Ivo</t>
  </si>
  <si>
    <t>Zution Goncalves</t>
  </si>
  <si>
    <t>Sekhar</t>
  </si>
  <si>
    <t>MUDDU</t>
  </si>
  <si>
    <t>Indian Institute of Science</t>
  </si>
  <si>
    <t>Anita</t>
  </si>
  <si>
    <t>Thompson</t>
  </si>
  <si>
    <t>University of Wisconsin-Madison</t>
  </si>
  <si>
    <t>Paul</t>
  </si>
  <si>
    <t>Hicks</t>
  </si>
  <si>
    <t>CRS</t>
  </si>
  <si>
    <t>Santosh</t>
  </si>
  <si>
    <t>Pitla</t>
  </si>
  <si>
    <t>Wilhelm</t>
  </si>
  <si>
    <t>Convoy of Hope</t>
  </si>
  <si>
    <t>Wayne</t>
  </si>
  <si>
    <t>Mitchell</t>
  </si>
  <si>
    <t>NBOI-New Beginnings Orphanages International</t>
  </si>
  <si>
    <t>Abia</t>
  </si>
  <si>
    <t>Katimbo</t>
  </si>
  <si>
    <t>Debra</t>
  </si>
  <si>
    <t>Leigh</t>
  </si>
  <si>
    <t>Leigh Environmental Equipment, Inc.</t>
  </si>
  <si>
    <t>Everardo</t>
  </si>
  <si>
    <t>Mantovani</t>
  </si>
  <si>
    <t>AIBA e UFV</t>
  </si>
  <si>
    <t>Naga</t>
  </si>
  <si>
    <t>Velpuri</t>
  </si>
  <si>
    <t>Chloe</t>
  </si>
  <si>
    <t>Ginsburg</t>
  </si>
  <si>
    <t>Rights and Resources Initiative</t>
  </si>
  <si>
    <t>Samir</t>
  </si>
  <si>
    <t>Ibrahim</t>
  </si>
  <si>
    <t>SunCulture</t>
  </si>
  <si>
    <t>Abraham</t>
  </si>
  <si>
    <t>Salomon</t>
  </si>
  <si>
    <t>Gates</t>
  </si>
  <si>
    <t>CropX Technologies</t>
  </si>
  <si>
    <t>Makki</t>
  </si>
  <si>
    <t>Khorchani</t>
  </si>
  <si>
    <t>Andre</t>
  </si>
  <si>
    <t>Boncompani</t>
  </si>
  <si>
    <t>Adam</t>
  </si>
  <si>
    <t>Keough</t>
  </si>
  <si>
    <t>Catholic Relief Services</t>
  </si>
  <si>
    <t>Justin</t>
  </si>
  <si>
    <t>Swanson</t>
  </si>
  <si>
    <t>NU Foundation</t>
  </si>
  <si>
    <t>Snow</t>
  </si>
  <si>
    <t>Joe</t>
  </si>
  <si>
    <t>Luck</t>
  </si>
  <si>
    <t>Regiane</t>
  </si>
  <si>
    <t>Bispo</t>
  </si>
  <si>
    <t>UNL/DWFI</t>
  </si>
  <si>
    <t>Loren</t>
  </si>
  <si>
    <t>Isom</t>
  </si>
  <si>
    <t>University of Nebraska - Industrial Ag Products</t>
  </si>
  <si>
    <t>Balschweid</t>
  </si>
  <si>
    <t>Melina</t>
  </si>
  <si>
    <t>Petenatti</t>
  </si>
  <si>
    <t>Rick</t>
  </si>
  <si>
    <t>Wilson</t>
  </si>
  <si>
    <t>Engineers Without Borders</t>
  </si>
  <si>
    <t>Frances</t>
  </si>
  <si>
    <t>Samira</t>
  </si>
  <si>
    <t>Daroub</t>
  </si>
  <si>
    <t>University of Florida</t>
  </si>
  <si>
    <t>Prasanna</t>
  </si>
  <si>
    <t>Boddupalli</t>
  </si>
  <si>
    <t>CIMMYT (International Maize and Wheat Improvement Center)</t>
  </si>
  <si>
    <t>Davidson</t>
  </si>
  <si>
    <t>ChucaoTech US</t>
  </si>
  <si>
    <t>Deyver</t>
  </si>
  <si>
    <t>Prates Martins</t>
  </si>
  <si>
    <t>SAGA Agro-Ambiental Ltda</t>
  </si>
  <si>
    <t>Bridget</t>
  </si>
  <si>
    <t>Scanlon</t>
  </si>
  <si>
    <t>University of Texas</t>
  </si>
  <si>
    <t>Drew</t>
  </si>
  <si>
    <t>Gholson</t>
  </si>
  <si>
    <t>Rock</t>
  </si>
  <si>
    <t>DANIEL</t>
  </si>
  <si>
    <t>TSEGAI</t>
  </si>
  <si>
    <t>United Nations Convention to Combat Desertification (UNCCD)</t>
  </si>
  <si>
    <t>Svoboda</t>
  </si>
  <si>
    <t>National Drought Mitigation Center/UNL</t>
  </si>
  <si>
    <t>Jordon</t>
  </si>
  <si>
    <t>Werlang</t>
  </si>
  <si>
    <t>Demetrius</t>
  </si>
  <si>
    <t>Bledsoe</t>
  </si>
  <si>
    <t>Fresh Harvest 365, LLC</t>
  </si>
  <si>
    <t>Mure</t>
  </si>
  <si>
    <t>Agbonlahor</t>
  </si>
  <si>
    <t>African Union Commission</t>
  </si>
  <si>
    <t>Magnusson</t>
  </si>
  <si>
    <t>Vezzini</t>
  </si>
  <si>
    <t>ennos ag</t>
  </si>
  <si>
    <t>Jill</t>
  </si>
  <si>
    <t>Motschenbacher</t>
  </si>
  <si>
    <t>University of Nebraska-Lincoln, School of Natural Resources</t>
  </si>
  <si>
    <t>Tillery</t>
  </si>
  <si>
    <t>Timmons-Sims</t>
  </si>
  <si>
    <t>Sandhills Area Research Association</t>
  </si>
  <si>
    <t>André Vinicius</t>
  </si>
  <si>
    <t>Schwaab</t>
  </si>
  <si>
    <t>SLC AGRICOLA</t>
  </si>
  <si>
    <t>Amber</t>
  </si>
  <si>
    <t>Poythress</t>
  </si>
  <si>
    <t>The Daugherty Water for Food Global Institute</t>
  </si>
  <si>
    <t>Benjamin</t>
  </si>
  <si>
    <t>Kiersch</t>
  </si>
  <si>
    <t>Food and Agriculture Organization of the UN (FAO)</t>
  </si>
  <si>
    <t>Hanh</t>
  </si>
  <si>
    <t>Phan</t>
  </si>
  <si>
    <t>Jude</t>
  </si>
  <si>
    <t>Cobbing</t>
  </si>
  <si>
    <t>Nirupam</t>
  </si>
  <si>
    <t>Aich</t>
  </si>
  <si>
    <t>C.K.</t>
  </si>
  <si>
    <t>Duryea</t>
  </si>
  <si>
    <t>University of Nebraska Foundation</t>
  </si>
  <si>
    <t>Hope Njuki</t>
  </si>
  <si>
    <t>Nakabuye</t>
  </si>
  <si>
    <t>Texas A&amp;M AgriLife Research</t>
  </si>
  <si>
    <t>Chris</t>
  </si>
  <si>
    <t>Proctor</t>
  </si>
  <si>
    <t>Greg</t>
  </si>
  <si>
    <t>Ibach</t>
  </si>
  <si>
    <t>Institute of Agriculture and Natural Resources</t>
  </si>
  <si>
    <t>Madhusudhan</t>
  </si>
  <si>
    <t>Adhikari</t>
  </si>
  <si>
    <t>Rintu</t>
  </si>
  <si>
    <t>Sen</t>
  </si>
  <si>
    <t>Molly</t>
  </si>
  <si>
    <t>Nance</t>
  </si>
  <si>
    <t>Murias Jardim</t>
  </si>
  <si>
    <t>Arianna</t>
  </si>
  <si>
    <t>Elnes</t>
  </si>
  <si>
    <t>Ashford</t>
  </si>
  <si>
    <t>Karina</t>
  </si>
  <si>
    <t>Schoengold</t>
  </si>
  <si>
    <t>Lefore</t>
  </si>
  <si>
    <t>Saleh</t>
  </si>
  <si>
    <t>Taghvaeian</t>
  </si>
  <si>
    <t>LaPointe</t>
  </si>
  <si>
    <t>Ho-Chunk Capital</t>
  </si>
  <si>
    <t>Liana</t>
  </si>
  <si>
    <t>Calegare</t>
  </si>
  <si>
    <t>ARD-UNL</t>
  </si>
  <si>
    <t>Jose Mauricio</t>
  </si>
  <si>
    <t>Borges</t>
  </si>
  <si>
    <t>RENAI Rede Nacional de Irrigantes</t>
  </si>
  <si>
    <t>Harkamal</t>
  </si>
  <si>
    <t>Walia</t>
  </si>
  <si>
    <t>Randall</t>
  </si>
  <si>
    <t>Ritzema</t>
  </si>
  <si>
    <t>Dipesh</t>
  </si>
  <si>
    <t>Giri</t>
  </si>
  <si>
    <t>Sousek</t>
  </si>
  <si>
    <t>Lower Platte South NRD</t>
  </si>
  <si>
    <t>Rowena</t>
  </si>
  <si>
    <t>Petroll</t>
  </si>
  <si>
    <t>Gustavo</t>
  </si>
  <si>
    <t>Ferreira</t>
  </si>
  <si>
    <t>353 Civil Affairs Command, U.S. Army Reserves</t>
  </si>
  <si>
    <t>Jabeen</t>
  </si>
  <si>
    <t>Taiba</t>
  </si>
  <si>
    <t>Tony</t>
  </si>
  <si>
    <t>Meusch</t>
  </si>
  <si>
    <t>Christopher</t>
  </si>
  <si>
    <t>Daugherty Water for Food Global Institute, University of Nebraska</t>
  </si>
  <si>
    <t>McLean</t>
  </si>
  <si>
    <t>Rafael</t>
  </si>
  <si>
    <t>Vilela Cunha</t>
  </si>
  <si>
    <t>COOPERVAP Cooperativa Agropecuária do Vale do Paracatu Ltda</t>
  </si>
  <si>
    <t>Egbuchiem</t>
  </si>
  <si>
    <t>Doug</t>
  </si>
  <si>
    <t>Merrey</t>
  </si>
  <si>
    <t>Independent</t>
  </si>
  <si>
    <t>Meaney</t>
  </si>
  <si>
    <t>rabi</t>
  </si>
  <si>
    <t>Mohtar</t>
  </si>
  <si>
    <t>TAMU</t>
  </si>
  <si>
    <t>Muhammad</t>
  </si>
  <si>
    <t>Zahid</t>
  </si>
  <si>
    <t>Geisikely</t>
  </si>
  <si>
    <t>Ramires</t>
  </si>
  <si>
    <t>Mundo Irrigação</t>
  </si>
  <si>
    <t>Christine</t>
  </si>
  <si>
    <t>Allmon</t>
  </si>
  <si>
    <t>UNMC Water Climate &amp; Health Program</t>
  </si>
  <si>
    <t>Sydney</t>
  </si>
  <si>
    <t>Beck</t>
  </si>
  <si>
    <t>University of Nebraska - Lincoln Office of Research and Innovation</t>
  </si>
  <si>
    <t>Mariah</t>
  </si>
  <si>
    <t>Jackson</t>
  </si>
  <si>
    <t>Isaac</t>
  </si>
  <si>
    <t>Kyei</t>
  </si>
  <si>
    <t>Darren</t>
  </si>
  <si>
    <t>Siekman</t>
  </si>
  <si>
    <t>Allen</t>
  </si>
  <si>
    <t>Berthold</t>
  </si>
  <si>
    <t>Texas A&amp;M AgriLife, Texas Water Resources Institute</t>
  </si>
  <si>
    <t>Vinay</t>
  </si>
  <si>
    <t>Nangia</t>
  </si>
  <si>
    <t>ICARDA: International Center for Agricultural Research in the Dry Areas</t>
  </si>
  <si>
    <t>Isadora</t>
  </si>
  <si>
    <t>Pinho Tavares</t>
  </si>
  <si>
    <t>IGAM</t>
  </si>
  <si>
    <t>Taylor</t>
  </si>
  <si>
    <t>Correll</t>
  </si>
  <si>
    <t>Matthew</t>
  </si>
  <si>
    <t>Gillespie</t>
  </si>
  <si>
    <t>Liz</t>
  </si>
  <si>
    <t>VanWormer</t>
  </si>
  <si>
    <t>Eleanor</t>
  </si>
  <si>
    <t>Rogan</t>
  </si>
  <si>
    <t>UNMC</t>
  </si>
  <si>
    <t>Lexi</t>
  </si>
  <si>
    <t>Bodlak</t>
  </si>
  <si>
    <t>Pan Ei</t>
  </si>
  <si>
    <t>Ei Phyoe</t>
  </si>
  <si>
    <t>University of Oxford</t>
  </si>
  <si>
    <t>Pasman</t>
  </si>
  <si>
    <t>VALMONT INDUSTRIES DE ARGENTINA</t>
  </si>
  <si>
    <t>Melissa</t>
  </si>
  <si>
    <t>Florell</t>
  </si>
  <si>
    <t>UNMC College of Nursing - Lincoln</t>
  </si>
  <si>
    <t>Berkland</t>
  </si>
  <si>
    <t>Valmont Irrigation</t>
  </si>
  <si>
    <t>Ann</t>
  </si>
  <si>
    <t>Briggs</t>
  </si>
  <si>
    <t>Anne</t>
  </si>
  <si>
    <t>Dare</t>
  </si>
  <si>
    <t>U.S. Agency for International Development</t>
  </si>
  <si>
    <t>Lineu</t>
  </si>
  <si>
    <t>Rodrigues</t>
  </si>
  <si>
    <t>University of Nebraska, Lincol</t>
  </si>
  <si>
    <t>Alan</t>
  </si>
  <si>
    <t>Boldt</t>
  </si>
  <si>
    <t>ALBERTO CARLOS</t>
  </si>
  <si>
    <t>CARBAJAL GUERRERO</t>
  </si>
  <si>
    <t>Ortega</t>
  </si>
  <si>
    <t>University Nebraska Lincoln</t>
  </si>
  <si>
    <t>Bonny</t>
  </si>
  <si>
    <t>Ozgur</t>
  </si>
  <si>
    <t>Araz</t>
  </si>
  <si>
    <t>Steven</t>
  </si>
  <si>
    <t>Malecek</t>
  </si>
  <si>
    <t>Water Pathways, LLC</t>
  </si>
  <si>
    <t>Katherine</t>
  </si>
  <si>
    <t>Moreland</t>
  </si>
  <si>
    <t>Tulane Institute for Water Resources Law and Policy</t>
  </si>
  <si>
    <t>Daniele</t>
  </si>
  <si>
    <t>Zaccaria</t>
  </si>
  <si>
    <t>University of California, Davis</t>
  </si>
  <si>
    <t>Cora</t>
  </si>
  <si>
    <t>Tso</t>
  </si>
  <si>
    <t>Arizona State University</t>
  </si>
  <si>
    <t>JEAN MICHEL</t>
  </si>
  <si>
    <t>REZENDE</t>
  </si>
  <si>
    <t>Regislaine</t>
  </si>
  <si>
    <t>da Silva</t>
  </si>
  <si>
    <t>Agropecuária WM</t>
  </si>
  <si>
    <t>Noe</t>
  </si>
  <si>
    <t>Hernandez</t>
  </si>
  <si>
    <t>KWASI OHENE</t>
  </si>
  <si>
    <t>DWUMFOUR</t>
  </si>
  <si>
    <t>NETWORK FOR PROMOTION OF AGRICULTURE AND ENVIRONMENTAL STUDIES</t>
  </si>
  <si>
    <t>Moushumi</t>
  </si>
  <si>
    <t>Hazra</t>
  </si>
  <si>
    <t>Anmol</t>
  </si>
  <si>
    <t>Singh</t>
  </si>
  <si>
    <t>Lyndon</t>
  </si>
  <si>
    <t>Vogt</t>
  </si>
  <si>
    <t>Central Platte Natural Resources District</t>
  </si>
  <si>
    <t>Chaffey</t>
  </si>
  <si>
    <t>Chaffey Partnership/Upper Namoi Water in the Landscape Initiative</t>
  </si>
  <si>
    <t>Cougher</t>
  </si>
  <si>
    <t>Robson</t>
  </si>
  <si>
    <t>Silva</t>
  </si>
  <si>
    <t>ALLAN</t>
  </si>
  <si>
    <t>RAMIRES</t>
  </si>
  <si>
    <t>Greici</t>
  </si>
  <si>
    <t>Parisoto</t>
  </si>
  <si>
    <t>Lia Fernanda</t>
  </si>
  <si>
    <t>Pellenz Dugnani</t>
  </si>
  <si>
    <t>CBH-Rio Grande</t>
  </si>
  <si>
    <t>Lacy</t>
  </si>
  <si>
    <t>Cotter-Vardeman</t>
  </si>
  <si>
    <t>Cotter Ranch LTD and Cotter Key Farms</t>
  </si>
  <si>
    <t>Carlos Armando</t>
  </si>
  <si>
    <t>Centro de formacion Tierra Saludable Ameyalli</t>
  </si>
  <si>
    <t>Rico</t>
  </si>
  <si>
    <t>The University of Nebraska - Lincoln</t>
  </si>
  <si>
    <t>Tom</t>
  </si>
  <si>
    <t>Williamsen</t>
  </si>
  <si>
    <t>Helton &amp; Williamsen PC</t>
  </si>
  <si>
    <t>Piva</t>
  </si>
  <si>
    <t>Karin</t>
  </si>
  <si>
    <t>Jeanneret Vezzini</t>
  </si>
  <si>
    <t>Joice</t>
  </si>
  <si>
    <t>Appelt</t>
  </si>
  <si>
    <t>Jesse</t>
  </si>
  <si>
    <t>Bell</t>
  </si>
  <si>
    <t>Harshana</t>
  </si>
  <si>
    <t>Olupathage</t>
  </si>
  <si>
    <t>Aditya</t>
  </si>
  <si>
    <t>Kapoor</t>
  </si>
  <si>
    <t>Nebraska Water Center, DWFI, University of Nebraska</t>
  </si>
  <si>
    <t>Lizane</t>
  </si>
  <si>
    <t>Nav</t>
  </si>
  <si>
    <t>Ghimire</t>
  </si>
  <si>
    <t>Nebraska Extension</t>
  </si>
  <si>
    <t>Luis</t>
  </si>
  <si>
    <t>Marcos</t>
  </si>
  <si>
    <t>Comunidad Maya Pixan Ixim: Reinforcing Our Roots, Living our Maya Heritage</t>
  </si>
  <si>
    <t>Munyaneza</t>
  </si>
  <si>
    <t>Anthony</t>
  </si>
  <si>
    <t>Delaney</t>
  </si>
  <si>
    <t>Roric</t>
  </si>
  <si>
    <t>Paulman</t>
  </si>
  <si>
    <t>Paulman Farms</t>
  </si>
  <si>
    <t>Jamie</t>
  </si>
  <si>
    <t>Critelli</t>
  </si>
  <si>
    <t>US Army</t>
  </si>
  <si>
    <t>Gibson</t>
  </si>
  <si>
    <t>Dhone</t>
  </si>
  <si>
    <t>Dugnani</t>
  </si>
  <si>
    <t>Aiba</t>
  </si>
  <si>
    <t>Hotze</t>
  </si>
  <si>
    <t>The Good Food Institute</t>
  </si>
  <si>
    <t>Kalley</t>
  </si>
  <si>
    <t>Collins</t>
  </si>
  <si>
    <t>Castro-Garcia</t>
  </si>
  <si>
    <t>Zia</t>
  </si>
  <si>
    <t>Zia Agriculture Farm</t>
  </si>
  <si>
    <t>Sadia</t>
  </si>
  <si>
    <t>Sharmeen</t>
  </si>
  <si>
    <t>Last Registration Date (GMT-06:00) Central [US &amp; Canada]</t>
  </si>
  <si>
    <t>First Name</t>
  </si>
  <si>
    <t>Last Name</t>
  </si>
  <si>
    <t>Company Name</t>
  </si>
  <si>
    <t>Admission Item</t>
  </si>
  <si>
    <t>Event Information</t>
  </si>
  <si>
    <t>Event Title</t>
  </si>
  <si>
    <t>2025 Water for Food Global Conference</t>
  </si>
  <si>
    <t>Event Code</t>
  </si>
  <si>
    <t>BLNFG2DHNYV</t>
  </si>
  <si>
    <t>Event Capacity</t>
  </si>
  <si>
    <t>600</t>
  </si>
  <si>
    <t>Start Date</t>
  </si>
  <si>
    <t>Apr 28, 2025 7:30 AM</t>
  </si>
  <si>
    <t>End Date</t>
  </si>
  <si>
    <t>May 2, 2025 3:00 PM</t>
  </si>
  <si>
    <t>Event Description</t>
  </si>
  <si>
    <t/>
  </si>
  <si>
    <t>Internal Note</t>
  </si>
  <si>
    <t>23-6811-0001, project code 8017</t>
  </si>
  <si>
    <t>Registration Deadline</t>
  </si>
  <si>
    <t>May 2, 2025 12:00 AM</t>
  </si>
  <si>
    <t>Event Location</t>
  </si>
  <si>
    <t>Nebraska Innovation Campus (NIC)</t>
  </si>
  <si>
    <t>Planner First Name</t>
  </si>
  <si>
    <t>Planner Email Address</t>
  </si>
  <si>
    <t>amber.poythress@unl.edu</t>
  </si>
  <si>
    <t>Table of Contents</t>
  </si>
  <si>
    <t>Registration Trend</t>
  </si>
  <si>
    <t>Link to corresponding sheet below</t>
  </si>
</sst>
</file>

<file path=xl/styles.xml><?xml version="1.0" encoding="utf-8"?>
<styleSheet xmlns="http://schemas.openxmlformats.org/spreadsheetml/2006/main">
  <numFmts count="2">
    <numFmt numFmtId="177" formatCode="@"/>
    <numFmt numFmtId="178" formatCode="#,##0"/>
  </numFmts>
  <fonts count="11">
    <font>
      <sz val="10"/>
      <color theme="1"/>
      <name val="Arial"/>
      <family val="2"/>
    </font>
    <font>
      <u val="single"/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u val="single"/>
      <sz val="10"/>
      <color rgb="FF0000FF"/>
      <name val="Arial"/>
      <family val="2"/>
    </font>
  </fonts>
  <fills count="5">
    <fill>
      <patternFill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10" fillId="0" borderId="0" xfId="0" applyFont="1"/>
    <xf numFmtId="22" fontId="8" fillId="0" borderId="0" xfId="0" applyNumberFormat="1" applyFont="1"/>
    <xf numFmtId="178" fontId="8" fillId="0" borderId="0" xfId="0" applyNumberFormat="1" applyFont="1"/>
    <xf numFmtId="22" fontId="8" fillId="2" borderId="0" xfId="0" applyNumberFormat="1" applyFont="1" applyFill="1"/>
    <xf numFmtId="178" fontId="8" fillId="2" borderId="0" xfId="0" applyNumberFormat="1" applyFont="1" applyFill="1"/>
    <xf numFmtId="0" fontId="9" fillId="0" borderId="1" xfId="0" applyFont="1" applyBorder="1" applyAlignment="1">
      <alignment vertical="center" wrapText="1"/>
    </xf>
    <xf numFmtId="177" fontId="8" fillId="0" borderId="0" xfId="0" applyNumberFormat="1" applyFont="1" applyAlignment="1">
      <alignment wrapText="1"/>
    </xf>
    <xf numFmtId="177" fontId="8" fillId="2" borderId="0" xfId="0" applyNumberFormat="1" applyFont="1" applyFill="1" applyAlignment="1">
      <alignment wrapText="1"/>
    </xf>
    <xf numFmtId="0" fontId="7" fillId="0" borderId="0" xfId="0" applyFont="1" applyAlignment="1">
      <alignment vertical="center"/>
    </xf>
    <xf numFmtId="0" fontId="0" fillId="0" borderId="2" xfId="0" applyBorder="1"/>
    <xf numFmtId="0" fontId="6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u="none" baseline="0">
                <a:latin typeface="Calibri"/>
                <a:ea typeface="Calibri"/>
                <a:cs typeface="Calibri"/>
              </a:rPr>
              <a:t>Registration Trend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numFmt formatCode="General" sourceLinked="1"/>
            <c:txPr>
              <a:bodyPr vert="horz" rot="0"/>
              <a:lstStyle/>
              <a:p>
                <a:pPr algn="ctr">
                  <a:defRPr lang="en-US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'Registration Trend'!$A$39:$A$58</c:f>
              <c:strCache/>
            </c:strRef>
          </c:cat>
          <c:val>
            <c:numRef>
              <c:f>'Registration Trend'!$B$39:$B$58</c:f>
              <c:numCache/>
            </c:numRef>
          </c:val>
          <c:smooth val="0"/>
        </c:ser>
        <c:marker val="1"/>
        <c:axId val="1717696889"/>
        <c:axId val="168662669"/>
      </c:lineChart>
      <c:catAx>
        <c:axId val="1717696889"/>
        <c:scaling>
          <c:orientation val="minMax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1200" u="none" baseline="0">
                    <a:latin typeface="Calibri"/>
                    <a:ea typeface="Calibri"/>
                    <a:cs typeface="Calibri"/>
                  </a:rPr>
                  <a:t>Last Registration Date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 sz="1200" u="none" baseline="0">
                <a:latin typeface="Calibri"/>
                <a:ea typeface="Calibri"/>
                <a:cs typeface="Calibri"/>
              </a:defRPr>
            </a:pPr>
          </a:p>
        </c:txPr>
        <c:crossAx val="168662669"/>
        <c:crosses val="autoZero"/>
        <c:lblOffset val="100"/>
        <c:noMultiLvlLbl val="0"/>
      </c:catAx>
      <c:valAx>
        <c:axId val="168662669"/>
        <c:scaling>
          <c:orientation val="minMax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/>
                  <a:t>Number of Registrants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majorGridlines>
          <c:spPr>
            <a:ln/>
          </c:spPr>
        </c:majorGridlines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lang="en-US" sz="1200" u="none" baseline="0">
                <a:latin typeface="Calibri"/>
                <a:ea typeface="Calibri"/>
                <a:cs typeface="Calibri"/>
              </a:defRPr>
            </a:pPr>
          </a:p>
        </c:txPr>
        <c:crossAx val="1717696889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 vert="horz" rot="0"/>
    <a:lstStyle/>
    <a:p>
      <a:pPr>
        <a:defRPr lang="en-US" u="none" baseline="0">
          <a:latin typeface="Arial"/>
          <a:ea typeface="Arial"/>
          <a:cs typeface="Arial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u="none" baseline="0">
                <a:latin typeface="Calibri"/>
                <a:ea typeface="Calibri"/>
                <a:cs typeface="Calibri"/>
              </a:rPr>
              <a:t>Registration Type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Lbls>
            <c:numFmt formatCode="0.0%" sourceLinked="0"/>
            <c:txPr>
              <a:bodyPr vert="horz" rot="0"/>
              <a:lstStyle/>
              <a:p>
                <a:pPr algn="ctr">
                  <a:defRPr lang="en-US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'Registration Type'!$A$39:$A$46</c:f>
              <c:strCache/>
            </c:strRef>
          </c:cat>
          <c:val>
            <c:numRef>
              <c:f>'Registration Type'!$B$39:$B$46</c:f>
              <c:numCache/>
            </c:numRef>
          </c:val>
        </c:ser>
      </c:pieChart>
      <c:spPr>
        <a:solidFill>
          <a:srgbClr val="FFFFFF"/>
        </a:solidFill>
        <a:ln w="12700">
          <a:noFill/>
        </a:ln>
      </c:spPr>
    </c:plotArea>
    <c:legend>
      <c:legendPos val="t"/>
      <c:layout/>
      <c:overlay val="0"/>
      <c:txPr>
        <a:bodyPr vert="horz" rot="0"/>
        <a:lstStyle/>
        <a:p>
          <a:pPr>
            <a:defRPr lang="en-US" sz="120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txPr>
    <a:bodyPr vert="horz" rot="0"/>
    <a:lstStyle/>
    <a:p>
      <a:pPr>
        <a:defRPr lang="en-US" u="none" baseline="0">
          <a:latin typeface="Arial"/>
          <a:ea typeface="Arial"/>
          <a:cs typeface="Arial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</xdr:row>
      <xdr:rowOff>0</xdr:rowOff>
    </xdr:from>
    <xdr:to>
      <xdr:col>12</xdr:col>
      <xdr:colOff>381000</xdr:colOff>
      <xdr:row>37</xdr:row>
      <xdr:rowOff>0</xdr:rowOff>
    </xdr:to>
    <xdr:graphicFrame>
      <xdr:nvGraphicFramePr>
        <xdr:cNvPr id="1" name="Chart 1"/>
        <xdr:cNvGraphicFramePr/>
      </xdr:nvGraphicFramePr>
      <xdr:xfrm>
        <a:off x="0" y="285750"/>
        <a:ext cx="9144000" cy="5000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</xdr:row>
      <xdr:rowOff>0</xdr:rowOff>
    </xdr:from>
    <xdr:to>
      <xdr:col>9</xdr:col>
      <xdr:colOff>590550</xdr:colOff>
      <xdr:row>37</xdr:row>
      <xdr:rowOff>0</xdr:rowOff>
    </xdr:to>
    <xdr:graphicFrame>
      <xdr:nvGraphicFramePr>
        <xdr:cNvPr id="1" name="Chart 1"/>
        <xdr:cNvGraphicFramePr/>
      </xdr:nvGraphicFramePr>
      <xdr:xfrm>
        <a:off x="0" y="285750"/>
        <a:ext cx="9144000" cy="5000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8:B58" totalsRowShown="0">
  <autoFilter ref="A38:B38"/>
  <tableColumns count="2">
    <tableColumn id="1" name="Last Registration Date"/>
    <tableColumn id="2" name="Registra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8:B46" totalsRowShown="0">
  <autoFilter ref="A38:B38"/>
  <tableColumns count="2">
    <tableColumn id="1" name="Registration Type"/>
    <tableColumn id="2" name="Registrant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4:G343" totalsRowShown="0">
  <autoFilter ref="A4:G4"/>
  <tableColumns count="7">
    <tableColumn id="1" name="Last Registration Date (GMT-06:00) Central [US &amp; Canada]"/>
    <tableColumn id="2" name="In-Person Attendance"/>
    <tableColumn id="3" name="First Name"/>
    <tableColumn id="4" name="Last Name"/>
    <tableColumn id="5" name="Company Name"/>
    <tableColumn id="6" name="Registration Type"/>
    <tableColumn id="7" name="Admission Ite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B3:D20"/>
  <sheetViews>
    <sheetView workbookViewId="0" topLeftCell="A1"/>
  </sheetViews>
  <sheetFormatPr defaultRowHeight="11.25"/>
  <cols>
    <col min="2" max="2" width="43.714285714285715" customWidth="1"/>
    <col min="3" max="3" width="2.7142857142857144" customWidth="1"/>
    <col min="4" max="4" width="43.714285714285715" customWidth="1"/>
  </cols>
  <sheetData>
    <row r="2" spans="2:4" ht="37" customHeight="1">
      <c r="B2" s="11" t="s">
        <v>860</v>
      </c>
      <c r="C2" s="10"/>
      <c r="D2" s="10"/>
    </row>
    <row r="3" spans="2:4" ht="11.25">
      <c r="B3" s="12" t="s">
        <v>861</v>
      </c>
      <c r="D3" s="13" t="s">
        <v>862</v>
      </c>
    </row>
    <row r="4" spans="2:4" ht="11.25">
      <c r="B4" s="14" t="s">
        <v>863</v>
      </c>
      <c r="D4" s="15" t="s">
        <v>864</v>
      </c>
    </row>
    <row r="5" spans="2:4" ht="11.25">
      <c r="B5" s="14" t="s">
        <v>865</v>
      </c>
      <c r="D5" s="15" t="s">
        <v>866</v>
      </c>
    </row>
    <row r="6" spans="2:4" ht="11.25">
      <c r="B6" s="14" t="s">
        <v>867</v>
      </c>
      <c r="D6" s="15" t="s">
        <v>868</v>
      </c>
    </row>
    <row r="7" spans="2:4" ht="11.25">
      <c r="B7" s="14" t="s">
        <v>869</v>
      </c>
      <c r="D7" s="15" t="s">
        <v>870</v>
      </c>
    </row>
    <row r="8" spans="2:4" ht="11.25">
      <c r="B8" s="14" t="s">
        <v>871</v>
      </c>
      <c r="D8" s="15" t="s">
        <v>872</v>
      </c>
    </row>
    <row r="9" spans="2:4" ht="11.25">
      <c r="B9" s="14" t="s">
        <v>873</v>
      </c>
      <c r="D9" s="15" t="s">
        <v>874</v>
      </c>
    </row>
    <row r="10" spans="2:4" ht="11.25">
      <c r="B10" s="14" t="s">
        <v>875</v>
      </c>
      <c r="D10" s="15" t="s">
        <v>876</v>
      </c>
    </row>
    <row r="11" spans="2:4" ht="11.25">
      <c r="B11" s="14" t="s">
        <v>877</v>
      </c>
      <c r="D11" s="15" t="s">
        <v>878</v>
      </c>
    </row>
    <row r="12" spans="2:4" ht="11.25">
      <c r="B12" s="14" t="s">
        <v>879</v>
      </c>
      <c r="D12" s="15" t="s">
        <v>622</v>
      </c>
    </row>
    <row r="13" spans="2:4" ht="11.25">
      <c r="B13" s="14" t="s">
        <v>880</v>
      </c>
      <c r="D13" s="15" t="s">
        <v>881</v>
      </c>
    </row>
    <row r="16" spans="2:4" ht="20" customHeight="1">
      <c r="B16" s="16" t="s">
        <v>882</v>
      </c>
      <c r="C16" s="10"/>
      <c r="D16" s="10"/>
    </row>
    <row r="17" spans="2:4" ht="29" customHeight="1">
      <c r="B17" s="17" t="s">
        <v>883</v>
      </c>
      <c r="D17" s="18" t="s">
        <v>884</v>
      </c>
    </row>
    <row r="18" spans="2:4" ht="29" customHeight="1">
      <c r="B18" s="19" t="s">
        <v>31</v>
      </c>
      <c r="D18" s="20" t="s">
        <v>884</v>
      </c>
    </row>
    <row r="19" spans="2:4" ht="29" customHeight="1">
      <c r="B19" s="19" t="s">
        <v>32</v>
      </c>
      <c r="D19" s="20" t="s">
        <v>884</v>
      </c>
    </row>
  </sheetData>
  <mergeCells count="2">
    <mergeCell ref="B2:D2"/>
    <mergeCell ref="B16:D16"/>
  </mergeCells>
  <hyperlinks>
    <hyperlink ref="D17" location="'Registration Trend'!A1" display="Link to corresponding sheet below"/>
    <hyperlink ref="D18" location="'Registration Type'!A1" display="Link to corresponding sheet below"/>
    <hyperlink ref="D19" location="'Registrant Details'!A1" display="Link to corresponding sheet below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B59"/>
  <sheetViews>
    <sheetView workbookViewId="0" topLeftCell="A1"/>
  </sheetViews>
  <sheetFormatPr defaultRowHeight="11.25"/>
  <cols>
    <col min="1" max="1" width="25.857142857142858" customWidth="1"/>
    <col min="2" max="2" width="14.142857142857142" customWidth="1"/>
  </cols>
  <sheetData>
    <row r="1" ht="11.25">
      <c r="A1" s="1" t="s">
        <v>0</v>
      </c>
    </row>
    <row r="38" spans="1:2" ht="11.25">
      <c r="A38" s="6" t="s">
        <v>21</v>
      </c>
      <c r="B38" s="6" t="s">
        <v>22</v>
      </c>
    </row>
    <row r="39" spans="1:2" ht="11.25">
      <c r="A39" s="2" t="s">
        <v>1</v>
      </c>
      <c r="B39" s="3">
        <v>16</v>
      </c>
    </row>
    <row r="40" spans="1:2" ht="11.25">
      <c r="A40" s="4" t="s">
        <v>2</v>
      </c>
      <c r="B40" s="5">
        <v>2</v>
      </c>
    </row>
    <row r="41" spans="1:2" ht="11.25">
      <c r="A41" s="2" t="s">
        <v>3</v>
      </c>
      <c r="B41" s="3">
        <v>1</v>
      </c>
    </row>
    <row r="42" spans="1:2" ht="11.25">
      <c r="A42" s="4" t="s">
        <v>4</v>
      </c>
      <c r="B42" s="5">
        <v>3</v>
      </c>
    </row>
    <row r="43" spans="1:2" ht="11.25">
      <c r="A43" s="2" t="s">
        <v>5</v>
      </c>
      <c r="B43" s="3">
        <v>1</v>
      </c>
    </row>
    <row r="44" spans="1:2" ht="11.25">
      <c r="A44" s="4" t="s">
        <v>6</v>
      </c>
      <c r="B44" s="5">
        <v>1</v>
      </c>
    </row>
    <row r="45" spans="1:2" ht="11.25">
      <c r="A45" s="2" t="s">
        <v>7</v>
      </c>
      <c r="B45" s="3">
        <v>5</v>
      </c>
    </row>
    <row r="46" spans="1:2" ht="11.25">
      <c r="A46" s="4" t="s">
        <v>8</v>
      </c>
      <c r="B46" s="5">
        <v>11</v>
      </c>
    </row>
    <row r="47" spans="1:2" ht="11.25">
      <c r="A47" s="2" t="s">
        <v>9</v>
      </c>
      <c r="B47" s="3">
        <v>12</v>
      </c>
    </row>
    <row r="48" spans="1:2" ht="11.25">
      <c r="A48" s="4" t="s">
        <v>10</v>
      </c>
      <c r="B48" s="5">
        <v>11</v>
      </c>
    </row>
    <row r="49" spans="1:2" ht="11.25">
      <c r="A49" s="2" t="s">
        <v>11</v>
      </c>
      <c r="B49" s="3">
        <v>11</v>
      </c>
    </row>
    <row r="50" spans="1:2" ht="11.25">
      <c r="A50" s="4" t="s">
        <v>12</v>
      </c>
      <c r="B50" s="5">
        <v>12</v>
      </c>
    </row>
    <row r="51" spans="1:2" ht="11.25">
      <c r="A51" s="2" t="s">
        <v>13</v>
      </c>
      <c r="B51" s="3">
        <v>23</v>
      </c>
    </row>
    <row r="52" spans="1:2" ht="11.25">
      <c r="A52" s="4" t="s">
        <v>14</v>
      </c>
      <c r="B52" s="5">
        <v>45</v>
      </c>
    </row>
    <row r="53" spans="1:2" ht="11.25">
      <c r="A53" s="2" t="s">
        <v>15</v>
      </c>
      <c r="B53" s="3">
        <v>21</v>
      </c>
    </row>
    <row r="54" spans="1:2" ht="11.25">
      <c r="A54" s="4" t="s">
        <v>16</v>
      </c>
      <c r="B54" s="5">
        <v>21</v>
      </c>
    </row>
    <row r="55" spans="1:2" ht="11.25">
      <c r="A55" s="2" t="s">
        <v>17</v>
      </c>
      <c r="B55" s="3">
        <v>12</v>
      </c>
    </row>
    <row r="56" spans="1:2" ht="11.25">
      <c r="A56" s="4" t="s">
        <v>18</v>
      </c>
      <c r="B56" s="5">
        <v>42</v>
      </c>
    </row>
    <row r="57" spans="1:2" ht="11.25">
      <c r="A57" s="2" t="s">
        <v>19</v>
      </c>
      <c r="B57" s="3">
        <v>69</v>
      </c>
    </row>
    <row r="58" spans="1:2" ht="11.25">
      <c r="A58" s="4" t="s">
        <v>20</v>
      </c>
      <c r="B58" s="5">
        <v>20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drawing r:id="rId2"/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B47"/>
  <sheetViews>
    <sheetView workbookViewId="0" topLeftCell="A1"/>
  </sheetViews>
  <sheetFormatPr defaultRowHeight="11.25"/>
  <cols>
    <col min="1" max="1" width="50.142857142857146" customWidth="1"/>
    <col min="2" max="2" width="14.142857142857142" customWidth="1"/>
  </cols>
  <sheetData>
    <row r="1" ht="11.25">
      <c r="A1" s="1" t="s">
        <v>0</v>
      </c>
    </row>
    <row r="38" spans="1:2" ht="11.25">
      <c r="A38" s="6" t="s">
        <v>31</v>
      </c>
      <c r="B38" s="6" t="s">
        <v>22</v>
      </c>
    </row>
    <row r="39" spans="1:2" ht="11.25">
      <c r="A39" s="7" t="s">
        <v>23</v>
      </c>
      <c r="B39" s="3">
        <v>80</v>
      </c>
    </row>
    <row r="40" spans="1:2" ht="11.25">
      <c r="A40" s="8" t="s">
        <v>24</v>
      </c>
      <c r="B40" s="5">
        <v>56</v>
      </c>
    </row>
    <row r="41" spans="1:2" ht="11.25">
      <c r="A41" s="7" t="s">
        <v>25</v>
      </c>
      <c r="B41" s="3">
        <v>47</v>
      </c>
    </row>
    <row r="42" spans="1:2" ht="11.25">
      <c r="A42" s="8" t="s">
        <v>26</v>
      </c>
      <c r="B42" s="5">
        <v>46</v>
      </c>
    </row>
    <row r="43" spans="1:2" ht="11.25">
      <c r="A43" s="7" t="s">
        <v>27</v>
      </c>
      <c r="B43" s="3">
        <v>44</v>
      </c>
    </row>
    <row r="44" spans="1:2" ht="11.25">
      <c r="A44" s="8" t="s">
        <v>28</v>
      </c>
      <c r="B44" s="5">
        <v>35</v>
      </c>
    </row>
    <row r="45" spans="1:2" ht="11.25">
      <c r="A45" s="7" t="s">
        <v>29</v>
      </c>
      <c r="B45" s="3">
        <v>19</v>
      </c>
    </row>
    <row r="46" spans="1:2" ht="11.25">
      <c r="A46" s="8" t="s">
        <v>30</v>
      </c>
      <c r="B46" s="5">
        <v>12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drawing r:id="rId2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G344"/>
  <sheetViews>
    <sheetView workbookViewId="0" topLeftCell="A1"/>
  </sheetViews>
  <sheetFormatPr defaultRowHeight="11.25"/>
  <cols>
    <col min="1" max="7" width="27.428571428571427" customWidth="1"/>
  </cols>
  <sheetData>
    <row r="1" ht="11.25">
      <c r="A1" s="1" t="s">
        <v>0</v>
      </c>
    </row>
    <row r="3" ht="11.25">
      <c r="A3" s="9" t="s">
        <v>32</v>
      </c>
    </row>
    <row r="4" spans="1:7" ht="11.25">
      <c r="A4" s="6" t="s">
        <v>855</v>
      </c>
      <c r="B4" s="6" t="s">
        <v>37</v>
      </c>
      <c r="C4" s="6" t="s">
        <v>856</v>
      </c>
      <c r="D4" s="6" t="s">
        <v>857</v>
      </c>
      <c r="E4" s="6" t="s">
        <v>858</v>
      </c>
      <c r="F4" s="6" t="s">
        <v>31</v>
      </c>
      <c r="G4" s="6" t="s">
        <v>859</v>
      </c>
    </row>
    <row r="5" spans="1:7" ht="11.25">
      <c r="A5" s="2">
        <f>DATE(2025,4,1)+TIME(13,4,52)</f>
        <v>45748.5450462963</v>
      </c>
      <c r="B5" s="7" t="s">
        <v>33</v>
      </c>
      <c r="C5" s="7" t="s">
        <v>34</v>
      </c>
      <c r="D5" s="7" t="s">
        <v>35</v>
      </c>
      <c r="E5" s="7" t="s">
        <v>36</v>
      </c>
      <c r="F5" s="7" t="s">
        <v>24</v>
      </c>
      <c r="G5" s="7" t="s">
        <v>37</v>
      </c>
    </row>
    <row r="6" spans="1:7" ht="11.25">
      <c r="A6" s="4">
        <f>DATE(2025,3,14)+TIME(11,9,30)</f>
        <v>45730.46493055556</v>
      </c>
      <c r="B6" s="8" t="s">
        <v>33</v>
      </c>
      <c r="C6" s="8" t="s">
        <v>38</v>
      </c>
      <c r="D6" s="8" t="s">
        <v>39</v>
      </c>
      <c r="E6" s="8" t="s">
        <v>40</v>
      </c>
      <c r="F6" s="8" t="s">
        <v>23</v>
      </c>
      <c r="G6" s="8" t="s">
        <v>37</v>
      </c>
    </row>
    <row r="7" spans="1:7" ht="11.25">
      <c r="A7" s="2">
        <f>DATE(2025,4,14)+TIME(12,35,53)</f>
        <v>45761.52491898148</v>
      </c>
      <c r="B7" s="7" t="s">
        <v>33</v>
      </c>
      <c r="C7" s="7" t="s">
        <v>41</v>
      </c>
      <c r="D7" s="7" t="s">
        <v>42</v>
      </c>
      <c r="E7" s="7" t="s">
        <v>43</v>
      </c>
      <c r="F7" s="7" t="s">
        <v>23</v>
      </c>
      <c r="G7" s="7" t="s">
        <v>37</v>
      </c>
    </row>
    <row r="8" spans="1:7" ht="11.25">
      <c r="A8" s="4">
        <f>DATE(2025,4,9)+TIME(14,32,58)</f>
        <v>45756.60622685185</v>
      </c>
      <c r="B8" s="8" t="s">
        <v>33</v>
      </c>
      <c r="C8" s="8" t="s">
        <v>44</v>
      </c>
      <c r="D8" s="8" t="s">
        <v>45</v>
      </c>
      <c r="E8" s="8" t="s">
        <v>46</v>
      </c>
      <c r="F8" s="8" t="s">
        <v>25</v>
      </c>
      <c r="G8" s="8" t="s">
        <v>37</v>
      </c>
    </row>
    <row r="9" spans="1:7" ht="11.25">
      <c r="A9" s="2">
        <f>DATE(2025,4,7)+TIME(14,40,19)</f>
        <v>45754.61133101852</v>
      </c>
      <c r="B9" s="7" t="s">
        <v>33</v>
      </c>
      <c r="C9" s="7" t="s">
        <v>47</v>
      </c>
      <c r="D9" s="7" t="s">
        <v>48</v>
      </c>
      <c r="E9" s="7" t="s">
        <v>46</v>
      </c>
      <c r="F9" s="7" t="s">
        <v>25</v>
      </c>
      <c r="G9" s="7" t="s">
        <v>37</v>
      </c>
    </row>
    <row r="10" spans="1:7" ht="11.25">
      <c r="A10" s="4">
        <f>DATE(2025,4,14)+TIME(21,24,47)</f>
        <v>45761.89221064815</v>
      </c>
      <c r="B10" s="8" t="s">
        <v>33</v>
      </c>
      <c r="C10" s="8" t="s">
        <v>49</v>
      </c>
      <c r="D10" s="8" t="s">
        <v>50</v>
      </c>
      <c r="E10" s="8" t="s">
        <v>51</v>
      </c>
      <c r="F10" s="8" t="s">
        <v>26</v>
      </c>
      <c r="G10" s="8" t="s">
        <v>37</v>
      </c>
    </row>
    <row r="11" spans="1:7" ht="11.25">
      <c r="A11" s="2">
        <f>DATE(2025,3,2)+TIME(14,14,34)</f>
        <v>45718.59344907408</v>
      </c>
      <c r="B11" s="7" t="s">
        <v>33</v>
      </c>
      <c r="C11" s="7" t="s">
        <v>52</v>
      </c>
      <c r="D11" s="7" t="s">
        <v>53</v>
      </c>
      <c r="E11" s="7" t="s">
        <v>54</v>
      </c>
      <c r="F11" s="7" t="s">
        <v>24</v>
      </c>
      <c r="G11" s="7" t="s">
        <v>37</v>
      </c>
    </row>
    <row r="12" spans="1:7" ht="11.25">
      <c r="A12" s="4">
        <f>DATE(2025,4,9)+TIME(13,26,22)</f>
        <v>45756.55997685185</v>
      </c>
      <c r="B12" s="8" t="s">
        <v>33</v>
      </c>
      <c r="C12" s="8" t="s">
        <v>55</v>
      </c>
      <c r="D12" s="8" t="s">
        <v>56</v>
      </c>
      <c r="E12" s="8" t="s">
        <v>46</v>
      </c>
      <c r="F12" s="8" t="s">
        <v>28</v>
      </c>
      <c r="G12" s="8" t="s">
        <v>37</v>
      </c>
    </row>
    <row r="13" spans="1:7" ht="11.25">
      <c r="A13" s="2">
        <f>DATE(2025,3,3)+TIME(4,25,47)</f>
        <v>45719.18457175926</v>
      </c>
      <c r="B13" s="7" t="s">
        <v>33</v>
      </c>
      <c r="C13" s="7" t="s">
        <v>57</v>
      </c>
      <c r="D13" s="7" t="s">
        <v>58</v>
      </c>
      <c r="E13" s="7" t="s">
        <v>59</v>
      </c>
      <c r="F13" s="7" t="s">
        <v>24</v>
      </c>
      <c r="G13" s="7" t="s">
        <v>37</v>
      </c>
    </row>
    <row r="14" spans="1:7" ht="11.25">
      <c r="A14" s="4">
        <f>DATE(2025,4,13)+TIME(16,47,44)</f>
        <v>45760.69981481481</v>
      </c>
      <c r="B14" s="8" t="s">
        <v>33</v>
      </c>
      <c r="C14" s="8" t="s">
        <v>60</v>
      </c>
      <c r="D14" s="8" t="s">
        <v>61</v>
      </c>
      <c r="E14" s="8" t="s">
        <v>62</v>
      </c>
      <c r="F14" s="8" t="s">
        <v>26</v>
      </c>
      <c r="G14" s="8" t="s">
        <v>37</v>
      </c>
    </row>
    <row r="15" spans="1:7" ht="11.25">
      <c r="A15" s="2">
        <f>DATE(2025,4,10)+TIME(18,30,59)</f>
        <v>45757.771516203706</v>
      </c>
      <c r="B15" s="7" t="s">
        <v>33</v>
      </c>
      <c r="C15" s="7" t="s">
        <v>63</v>
      </c>
      <c r="D15" s="7" t="s">
        <v>64</v>
      </c>
      <c r="E15" s="7" t="s">
        <v>65</v>
      </c>
      <c r="F15" s="7" t="s">
        <v>23</v>
      </c>
      <c r="G15" s="7" t="s">
        <v>37</v>
      </c>
    </row>
    <row r="16" spans="1:7" ht="11.25">
      <c r="A16" s="4">
        <f>DATE(2025,4,13)+TIME(16,55,28)</f>
        <v>45760.70518518519</v>
      </c>
      <c r="B16" s="8" t="s">
        <v>33</v>
      </c>
      <c r="C16" s="8" t="s">
        <v>66</v>
      </c>
      <c r="D16" s="8" t="s">
        <v>67</v>
      </c>
      <c r="E16" s="8" t="s">
        <v>68</v>
      </c>
      <c r="F16" s="8" t="s">
        <v>26</v>
      </c>
      <c r="G16" s="8" t="s">
        <v>37</v>
      </c>
    </row>
    <row r="17" spans="1:7" ht="11.25">
      <c r="A17" s="2">
        <f>DATE(2024,11,20)+TIME(13,55,13)</f>
        <v>45616.58001157407</v>
      </c>
      <c r="B17" s="7" t="s">
        <v>33</v>
      </c>
      <c r="C17" s="7" t="s">
        <v>69</v>
      </c>
      <c r="D17" s="7" t="s">
        <v>70</v>
      </c>
      <c r="E17" s="7" t="s">
        <v>71</v>
      </c>
      <c r="F17" s="7" t="s">
        <v>27</v>
      </c>
      <c r="G17" s="7" t="s">
        <v>37</v>
      </c>
    </row>
    <row r="18" spans="1:7" ht="11.25">
      <c r="A18" s="4">
        <f>DATE(2025,4,1)+TIME(18,45,32)</f>
        <v>45748.78162037037</v>
      </c>
      <c r="B18" s="8" t="s">
        <v>33</v>
      </c>
      <c r="C18" s="8" t="s">
        <v>72</v>
      </c>
      <c r="D18" s="8" t="s">
        <v>73</v>
      </c>
      <c r="E18" s="8" t="s">
        <v>74</v>
      </c>
      <c r="F18" s="8" t="s">
        <v>30</v>
      </c>
      <c r="G18" s="8" t="s">
        <v>37</v>
      </c>
    </row>
    <row r="19" spans="1:7" ht="11.25">
      <c r="A19" s="2">
        <f>DATE(2025,2,21)+TIME(13,56,9)</f>
        <v>45709.580659722225</v>
      </c>
      <c r="B19" s="7" t="s">
        <v>33</v>
      </c>
      <c r="C19" s="7" t="s">
        <v>75</v>
      </c>
      <c r="D19" s="7" t="s">
        <v>76</v>
      </c>
      <c r="E19" s="7" t="s">
        <v>46</v>
      </c>
      <c r="F19" s="7" t="s">
        <v>25</v>
      </c>
      <c r="G19" s="7" t="s">
        <v>37</v>
      </c>
    </row>
    <row r="20" spans="1:7" ht="11.25">
      <c r="A20" s="4">
        <f>DATE(2025,3,12)+TIME(13,38,51)</f>
        <v>45728.56864583334</v>
      </c>
      <c r="B20" s="8" t="s">
        <v>33</v>
      </c>
      <c r="C20" s="8" t="s">
        <v>77</v>
      </c>
      <c r="D20" s="8" t="s">
        <v>78</v>
      </c>
      <c r="E20" s="8" t="s">
        <v>79</v>
      </c>
      <c r="F20" s="8" t="s">
        <v>23</v>
      </c>
      <c r="G20" s="8" t="s">
        <v>37</v>
      </c>
    </row>
    <row r="21" spans="1:7" ht="11.25">
      <c r="A21" s="2">
        <f>DATE(2025,4,18)+TIME(19,18,18)</f>
        <v>45765.804375</v>
      </c>
      <c r="B21" s="7" t="s">
        <v>33</v>
      </c>
      <c r="C21" s="7" t="s">
        <v>80</v>
      </c>
      <c r="D21" s="7" t="s">
        <v>81</v>
      </c>
      <c r="E21" s="7" t="s">
        <v>82</v>
      </c>
      <c r="F21" s="7" t="s">
        <v>26</v>
      </c>
      <c r="G21" s="7" t="s">
        <v>37</v>
      </c>
    </row>
    <row r="22" spans="1:7" ht="11.25">
      <c r="A22" s="4">
        <f>DATE(2025,3,21)+TIME(11,32,1)</f>
        <v>45737.48056712963</v>
      </c>
      <c r="B22" s="8" t="s">
        <v>33</v>
      </c>
      <c r="C22" s="8" t="s">
        <v>83</v>
      </c>
      <c r="D22" s="8" t="s">
        <v>84</v>
      </c>
      <c r="E22" s="8" t="s">
        <v>85</v>
      </c>
      <c r="F22" s="8" t="s">
        <v>23</v>
      </c>
      <c r="G22" s="8" t="s">
        <v>37</v>
      </c>
    </row>
    <row r="23" spans="1:7" ht="11.25">
      <c r="A23" s="2">
        <f>DATE(2025,2,24)+TIME(11,7,51)</f>
        <v>45712.463784722226</v>
      </c>
      <c r="B23" s="7" t="s">
        <v>33</v>
      </c>
      <c r="C23" s="7" t="s">
        <v>86</v>
      </c>
      <c r="D23" s="7" t="s">
        <v>87</v>
      </c>
      <c r="E23" s="7" t="s">
        <v>88</v>
      </c>
      <c r="F23" s="7" t="s">
        <v>23</v>
      </c>
      <c r="G23" s="7" t="s">
        <v>37</v>
      </c>
    </row>
    <row r="24" spans="1:7" ht="11.25">
      <c r="A24" s="4">
        <f>DATE(2025,4,13)+TIME(16,22,12)</f>
        <v>45760.68208333333</v>
      </c>
      <c r="B24" s="8" t="s">
        <v>33</v>
      </c>
      <c r="C24" s="8" t="s">
        <v>89</v>
      </c>
      <c r="D24" s="8" t="s">
        <v>90</v>
      </c>
      <c r="E24" s="8" t="s">
        <v>91</v>
      </c>
      <c r="F24" s="8" t="s">
        <v>26</v>
      </c>
      <c r="G24" s="8" t="s">
        <v>37</v>
      </c>
    </row>
    <row r="25" spans="1:7" ht="11.25">
      <c r="A25" s="2">
        <f>DATE(2025,2,21)+TIME(15,18,4)</f>
        <v>45709.6375462963</v>
      </c>
      <c r="B25" s="7" t="s">
        <v>33</v>
      </c>
      <c r="C25" s="7" t="s">
        <v>92</v>
      </c>
      <c r="D25" s="7" t="s">
        <v>93</v>
      </c>
      <c r="E25" s="7" t="s">
        <v>94</v>
      </c>
      <c r="F25" s="7" t="s">
        <v>29</v>
      </c>
      <c r="G25" s="7" t="s">
        <v>37</v>
      </c>
    </row>
    <row r="26" spans="1:7" ht="11.25">
      <c r="A26" s="4">
        <f>DATE(2025,4,8)+TIME(10,33,21)</f>
        <v>45755.43982638889</v>
      </c>
      <c r="B26" s="8" t="s">
        <v>33</v>
      </c>
      <c r="C26" s="8" t="s">
        <v>95</v>
      </c>
      <c r="D26" s="8" t="s">
        <v>96</v>
      </c>
      <c r="E26" s="8" t="s">
        <v>97</v>
      </c>
      <c r="F26" s="8" t="s">
        <v>28</v>
      </c>
      <c r="G26" s="8" t="s">
        <v>37</v>
      </c>
    </row>
    <row r="27" spans="1:7" ht="11.25">
      <c r="A27" s="2">
        <f>DATE(2025,3,19)+TIME(10,33,17)</f>
        <v>45735.439780092594</v>
      </c>
      <c r="B27" s="7" t="s">
        <v>33</v>
      </c>
      <c r="C27" s="7" t="s">
        <v>98</v>
      </c>
      <c r="D27" s="7" t="s">
        <v>99</v>
      </c>
      <c r="E27" s="7" t="s">
        <v>100</v>
      </c>
      <c r="F27" s="7" t="s">
        <v>28</v>
      </c>
      <c r="G27" s="7" t="s">
        <v>37</v>
      </c>
    </row>
    <row r="28" spans="1:7" ht="11.25">
      <c r="A28" s="4">
        <f>DATE(2025,4,17)+TIME(7,51,57)</f>
        <v>45764.32774305555</v>
      </c>
      <c r="B28" s="8" t="s">
        <v>33</v>
      </c>
      <c r="C28" s="8" t="s">
        <v>101</v>
      </c>
      <c r="D28" s="8" t="s">
        <v>102</v>
      </c>
      <c r="E28" s="8" t="s">
        <v>103</v>
      </c>
      <c r="F28" s="8" t="s">
        <v>28</v>
      </c>
      <c r="G28" s="8" t="s">
        <v>37</v>
      </c>
    </row>
    <row r="29" spans="1:7" ht="11.25">
      <c r="A29" s="2">
        <f>DATE(2025,4,16)+TIME(22,28,14)</f>
        <v>45763.936273148145</v>
      </c>
      <c r="B29" s="7" t="s">
        <v>33</v>
      </c>
      <c r="C29" s="7" t="s">
        <v>104</v>
      </c>
      <c r="D29" s="7" t="s">
        <v>105</v>
      </c>
      <c r="E29" s="7" t="s">
        <v>106</v>
      </c>
      <c r="F29" s="7" t="s">
        <v>30</v>
      </c>
      <c r="G29" s="7" t="s">
        <v>37</v>
      </c>
    </row>
    <row r="30" spans="1:7" ht="11.25">
      <c r="A30" s="4">
        <f>DATE(2025,4,1)+TIME(4,30,38)</f>
        <v>45748.187939814816</v>
      </c>
      <c r="B30" s="8" t="s">
        <v>33</v>
      </c>
      <c r="C30" s="8" t="s">
        <v>107</v>
      </c>
      <c r="D30" s="8" t="s">
        <v>108</v>
      </c>
      <c r="E30" s="8" t="s">
        <v>109</v>
      </c>
      <c r="F30" s="8" t="s">
        <v>29</v>
      </c>
      <c r="G30" s="8" t="s">
        <v>37</v>
      </c>
    </row>
    <row r="31" spans="1:7" ht="11.25">
      <c r="A31" s="2">
        <f>DATE(2025,3,7)+TIME(12,25,8)</f>
        <v>45723.5174537037</v>
      </c>
      <c r="B31" s="7" t="s">
        <v>33</v>
      </c>
      <c r="C31" s="7" t="s">
        <v>110</v>
      </c>
      <c r="D31" s="7" t="s">
        <v>111</v>
      </c>
      <c r="E31" s="7" t="s">
        <v>112</v>
      </c>
      <c r="F31" s="7" t="s">
        <v>29</v>
      </c>
      <c r="G31" s="7" t="s">
        <v>37</v>
      </c>
    </row>
    <row r="32" spans="1:7" ht="11.25">
      <c r="A32" s="4">
        <f>DATE(2025,4,11)+TIME(14,34,22)</f>
        <v>45758.607199074075</v>
      </c>
      <c r="B32" s="8" t="s">
        <v>33</v>
      </c>
      <c r="C32" s="8" t="s">
        <v>113</v>
      </c>
      <c r="D32" s="8" t="s">
        <v>114</v>
      </c>
      <c r="E32" s="8" t="s">
        <v>115</v>
      </c>
      <c r="F32" s="8" t="s">
        <v>23</v>
      </c>
      <c r="G32" s="8" t="s">
        <v>37</v>
      </c>
    </row>
    <row r="33" spans="1:7" ht="11.25">
      <c r="A33" s="2">
        <f>DATE(2025,4,14)+TIME(9,28,28)</f>
        <v>45761.39476851852</v>
      </c>
      <c r="B33" s="7" t="s">
        <v>33</v>
      </c>
      <c r="C33" s="7" t="s">
        <v>116</v>
      </c>
      <c r="D33" s="7" t="s">
        <v>117</v>
      </c>
      <c r="E33" s="7" t="s">
        <v>118</v>
      </c>
      <c r="F33" s="7" t="s">
        <v>24</v>
      </c>
      <c r="G33" s="7" t="s">
        <v>37</v>
      </c>
    </row>
    <row r="34" spans="1:7" ht="11.25">
      <c r="A34" s="4">
        <f>DATE(2025,4,12)+TIME(17,15,42)</f>
        <v>45759.71923611111</v>
      </c>
      <c r="B34" s="8" t="s">
        <v>33</v>
      </c>
      <c r="C34" s="8" t="s">
        <v>119</v>
      </c>
      <c r="D34" s="8" t="s">
        <v>120</v>
      </c>
      <c r="E34" s="8" t="s">
        <v>121</v>
      </c>
      <c r="F34" s="8" t="s">
        <v>24</v>
      </c>
      <c r="G34" s="8" t="s">
        <v>37</v>
      </c>
    </row>
    <row r="35" spans="1:7" ht="11.25">
      <c r="A35" s="2">
        <f>DATE(2025,3,31)+TIME(15,32,27)</f>
        <v>45747.64753472222</v>
      </c>
      <c r="B35" s="7" t="s">
        <v>33</v>
      </c>
      <c r="C35" s="7" t="s">
        <v>122</v>
      </c>
      <c r="D35" s="7" t="s">
        <v>123</v>
      </c>
      <c r="E35" s="7" t="s">
        <v>124</v>
      </c>
      <c r="F35" s="7" t="s">
        <v>27</v>
      </c>
      <c r="G35" s="7" t="s">
        <v>37</v>
      </c>
    </row>
    <row r="36" spans="1:7" ht="11.25">
      <c r="A36" s="4">
        <f>DATE(2025,2,27)+TIME(9,13,15)</f>
        <v>45715.384201388886</v>
      </c>
      <c r="B36" s="8" t="s">
        <v>33</v>
      </c>
      <c r="C36" s="8" t="s">
        <v>125</v>
      </c>
      <c r="D36" s="8" t="s">
        <v>126</v>
      </c>
      <c r="E36" s="8" t="s">
        <v>127</v>
      </c>
      <c r="F36" s="8" t="s">
        <v>23</v>
      </c>
      <c r="G36" s="8" t="s">
        <v>37</v>
      </c>
    </row>
    <row r="37" spans="1:7" ht="11.25">
      <c r="A37" s="2">
        <f>DATE(2025,4,4)+TIME(14,24,28)</f>
        <v>45751.600324074076</v>
      </c>
      <c r="B37" s="7" t="s">
        <v>33</v>
      </c>
      <c r="C37" s="7" t="s">
        <v>128</v>
      </c>
      <c r="D37" s="7" t="s">
        <v>129</v>
      </c>
      <c r="E37" s="7" t="s">
        <v>130</v>
      </c>
      <c r="F37" s="7" t="s">
        <v>30</v>
      </c>
      <c r="G37" s="7" t="s">
        <v>37</v>
      </c>
    </row>
    <row r="38" spans="1:7" ht="11.25">
      <c r="A38" s="4">
        <f>DATE(2025,2,16)+TIME(21,53,48)</f>
        <v>45704.91236111111</v>
      </c>
      <c r="B38" s="8" t="s">
        <v>33</v>
      </c>
      <c r="C38" s="8" t="s">
        <v>131</v>
      </c>
      <c r="D38" s="8" t="s">
        <v>132</v>
      </c>
      <c r="E38" s="8" t="s">
        <v>133</v>
      </c>
      <c r="F38" s="8" t="s">
        <v>25</v>
      </c>
      <c r="G38" s="8" t="s">
        <v>37</v>
      </c>
    </row>
    <row r="39" spans="1:7" ht="11.25">
      <c r="A39" s="2">
        <f>DATE(2025,3,24)+TIME(22,36,28)</f>
        <v>45740.94199074074</v>
      </c>
      <c r="B39" s="7" t="s">
        <v>33</v>
      </c>
      <c r="C39" s="7" t="s">
        <v>134</v>
      </c>
      <c r="D39" s="7" t="s">
        <v>135</v>
      </c>
      <c r="E39" s="7" t="s">
        <v>136</v>
      </c>
      <c r="F39" s="7" t="s">
        <v>23</v>
      </c>
      <c r="G39" s="7" t="s">
        <v>37</v>
      </c>
    </row>
    <row r="40" spans="1:7" ht="11.25">
      <c r="A40" s="4">
        <f>DATE(2025,3,19)+TIME(8,39,41)</f>
        <v>45735.3608912037</v>
      </c>
      <c r="B40" s="8" t="s">
        <v>33</v>
      </c>
      <c r="C40" s="8" t="s">
        <v>137</v>
      </c>
      <c r="D40" s="8" t="s">
        <v>138</v>
      </c>
      <c r="E40" s="8" t="s">
        <v>139</v>
      </c>
      <c r="F40" s="8" t="s">
        <v>23</v>
      </c>
      <c r="G40" s="8" t="s">
        <v>37</v>
      </c>
    </row>
    <row r="41" spans="1:7" ht="11.25">
      <c r="A41" s="2">
        <f>DATE(2025,3,3)+TIME(11,23,8)</f>
        <v>45719.47439814815</v>
      </c>
      <c r="B41" s="7" t="s">
        <v>33</v>
      </c>
      <c r="C41" s="7" t="s">
        <v>140</v>
      </c>
      <c r="D41" s="7" t="s">
        <v>141</v>
      </c>
      <c r="E41" s="7" t="s">
        <v>46</v>
      </c>
      <c r="F41" s="7" t="s">
        <v>25</v>
      </c>
      <c r="G41" s="7" t="s">
        <v>37</v>
      </c>
    </row>
    <row r="42" spans="1:7" ht="11.25">
      <c r="A42" s="4">
        <f>DATE(2025,2,21)+TIME(13,19,3)</f>
        <v>45709.55489583333</v>
      </c>
      <c r="B42" s="8" t="s">
        <v>33</v>
      </c>
      <c r="C42" s="8" t="s">
        <v>142</v>
      </c>
      <c r="D42" s="8" t="s">
        <v>143</v>
      </c>
      <c r="E42" s="8" t="s">
        <v>144</v>
      </c>
      <c r="F42" s="8" t="s">
        <v>23</v>
      </c>
      <c r="G42" s="8" t="s">
        <v>37</v>
      </c>
    </row>
    <row r="43" spans="1:7" ht="11.25">
      <c r="A43" s="2">
        <f>DATE(2025,4,4)+TIME(11,56,3)</f>
        <v>45751.49725694444</v>
      </c>
      <c r="B43" s="7" t="s">
        <v>33</v>
      </c>
      <c r="C43" s="7" t="s">
        <v>145</v>
      </c>
      <c r="D43" s="7" t="s">
        <v>146</v>
      </c>
      <c r="E43" s="7" t="s">
        <v>147</v>
      </c>
      <c r="F43" s="7" t="s">
        <v>30</v>
      </c>
      <c r="G43" s="7" t="s">
        <v>37</v>
      </c>
    </row>
    <row r="44" spans="1:7" ht="11.25">
      <c r="A44" s="4">
        <f>DATE(2025,3,9)+TIME(20,53,25)</f>
        <v>45725.87042824074</v>
      </c>
      <c r="B44" s="8" t="s">
        <v>33</v>
      </c>
      <c r="C44" s="8" t="s">
        <v>148</v>
      </c>
      <c r="D44" s="8" t="s">
        <v>149</v>
      </c>
      <c r="E44" s="8" t="s">
        <v>150</v>
      </c>
      <c r="F44" s="8" t="s">
        <v>23</v>
      </c>
      <c r="G44" s="8" t="s">
        <v>37</v>
      </c>
    </row>
    <row r="45" spans="1:7" ht="11.25">
      <c r="A45" s="2">
        <f>DATE(2025,4,10)+TIME(11,59,5)</f>
        <v>45757.49936342592</v>
      </c>
      <c r="B45" s="7" t="s">
        <v>33</v>
      </c>
      <c r="C45" s="7" t="s">
        <v>151</v>
      </c>
      <c r="D45" s="7" t="s">
        <v>152</v>
      </c>
      <c r="E45" s="7" t="s">
        <v>153</v>
      </c>
      <c r="F45" s="7" t="s">
        <v>24</v>
      </c>
      <c r="G45" s="7" t="s">
        <v>37</v>
      </c>
    </row>
    <row r="46" spans="1:7" ht="11.25">
      <c r="A46" s="4">
        <f>DATE(2025,4,13)+TIME(16,24,57)</f>
        <v>45760.68399305556</v>
      </c>
      <c r="B46" s="8" t="s">
        <v>33</v>
      </c>
      <c r="C46" s="8" t="s">
        <v>154</v>
      </c>
      <c r="D46" s="8" t="s">
        <v>155</v>
      </c>
      <c r="E46" s="8" t="s">
        <v>156</v>
      </c>
      <c r="F46" s="8" t="s">
        <v>26</v>
      </c>
      <c r="G46" s="8" t="s">
        <v>37</v>
      </c>
    </row>
    <row r="47" spans="1:7" ht="11.25">
      <c r="A47" s="2">
        <f>DATE(2025,3,5)+TIME(16,58,18)</f>
        <v>45721.70715277778</v>
      </c>
      <c r="B47" s="7" t="s">
        <v>33</v>
      </c>
      <c r="C47" s="7" t="s">
        <v>157</v>
      </c>
      <c r="D47" s="7" t="s">
        <v>158</v>
      </c>
      <c r="E47" s="7" t="s">
        <v>46</v>
      </c>
      <c r="F47" s="7" t="s">
        <v>25</v>
      </c>
      <c r="G47" s="7" t="s">
        <v>37</v>
      </c>
    </row>
    <row r="48" spans="1:7" ht="11.25">
      <c r="A48" s="4">
        <f>DATE(2025,2,6)+TIME(11,46,1)</f>
        <v>45694.49028935185</v>
      </c>
      <c r="B48" s="8" t="s">
        <v>33</v>
      </c>
      <c r="C48" s="8" t="s">
        <v>159</v>
      </c>
      <c r="D48" s="8" t="s">
        <v>160</v>
      </c>
      <c r="E48" s="8" t="s">
        <v>161</v>
      </c>
      <c r="F48" s="8" t="s">
        <v>30</v>
      </c>
      <c r="G48" s="8" t="s">
        <v>37</v>
      </c>
    </row>
    <row r="49" spans="1:7" ht="11.25">
      <c r="A49" s="2">
        <f>DATE(2025,3,3)+TIME(14,58,3)</f>
        <v>45719.62364583334</v>
      </c>
      <c r="B49" s="7" t="s">
        <v>33</v>
      </c>
      <c r="C49" s="7" t="s">
        <v>162</v>
      </c>
      <c r="D49" s="7" t="s">
        <v>163</v>
      </c>
      <c r="E49" s="7" t="s">
        <v>46</v>
      </c>
      <c r="F49" s="7" t="s">
        <v>28</v>
      </c>
      <c r="G49" s="7" t="s">
        <v>37</v>
      </c>
    </row>
    <row r="50" spans="1:7" ht="11.25">
      <c r="A50" s="4">
        <f>DATE(2025,4,4)+TIME(7,49,21)</f>
        <v>45751.3259375</v>
      </c>
      <c r="B50" s="8" t="s">
        <v>33</v>
      </c>
      <c r="C50" s="8" t="s">
        <v>164</v>
      </c>
      <c r="D50" s="8" t="s">
        <v>165</v>
      </c>
      <c r="E50" s="8" t="s">
        <v>166</v>
      </c>
      <c r="F50" s="8" t="s">
        <v>24</v>
      </c>
      <c r="G50" s="8" t="s">
        <v>37</v>
      </c>
    </row>
    <row r="51" spans="1:7" ht="11.25">
      <c r="A51" s="2">
        <f>DATE(2025,3,3)+TIME(14,42,50)</f>
        <v>45719.613078703704</v>
      </c>
      <c r="B51" s="7" t="s">
        <v>33</v>
      </c>
      <c r="C51" s="7" t="s">
        <v>167</v>
      </c>
      <c r="D51" s="7" t="s">
        <v>168</v>
      </c>
      <c r="E51" s="7" t="s">
        <v>46</v>
      </c>
      <c r="F51" s="7" t="s">
        <v>25</v>
      </c>
      <c r="G51" s="7" t="s">
        <v>37</v>
      </c>
    </row>
    <row r="52" spans="1:7" ht="11.25">
      <c r="A52" s="4">
        <f>DATE(2025,4,13)+TIME(16,5,38)</f>
        <v>45760.670578703706</v>
      </c>
      <c r="B52" s="8" t="s">
        <v>33</v>
      </c>
      <c r="C52" s="8" t="s">
        <v>169</v>
      </c>
      <c r="D52" s="8" t="s">
        <v>170</v>
      </c>
      <c r="E52" s="8" t="s">
        <v>171</v>
      </c>
      <c r="F52" s="8" t="s">
        <v>26</v>
      </c>
      <c r="G52" s="8" t="s">
        <v>37</v>
      </c>
    </row>
    <row r="53" spans="1:7" ht="11.25">
      <c r="A53" s="2">
        <f>DATE(2025,3,7)+TIME(7,47,32)</f>
        <v>45723.32467592593</v>
      </c>
      <c r="B53" s="7" t="s">
        <v>33</v>
      </c>
      <c r="C53" s="7" t="s">
        <v>172</v>
      </c>
      <c r="D53" s="7" t="s">
        <v>173</v>
      </c>
      <c r="E53" s="7" t="s">
        <v>174</v>
      </c>
      <c r="F53" s="7" t="s">
        <v>23</v>
      </c>
      <c r="G53" s="7" t="s">
        <v>37</v>
      </c>
    </row>
    <row r="54" spans="1:7" ht="11.25">
      <c r="A54" s="4">
        <f>DATE(2024,11,20)+TIME(11,16,43)</f>
        <v>45616.46994212963</v>
      </c>
      <c r="B54" s="8" t="s">
        <v>33</v>
      </c>
      <c r="C54" s="8" t="s">
        <v>122</v>
      </c>
      <c r="D54" s="8" t="s">
        <v>123</v>
      </c>
      <c r="E54" s="8" t="s">
        <v>100</v>
      </c>
      <c r="F54" s="8" t="s">
        <v>27</v>
      </c>
      <c r="G54" s="8" t="s">
        <v>37</v>
      </c>
    </row>
    <row r="55" spans="1:7" ht="11.25">
      <c r="A55" s="2">
        <f>DATE(2024,11,19)+TIME(15,57,16)</f>
        <v>45615.664768518516</v>
      </c>
      <c r="B55" s="7" t="s">
        <v>33</v>
      </c>
      <c r="C55" s="7" t="s">
        <v>175</v>
      </c>
      <c r="D55" s="7" t="s">
        <v>176</v>
      </c>
      <c r="E55" s="7" t="s">
        <v>177</v>
      </c>
      <c r="F55" s="7" t="s">
        <v>27</v>
      </c>
      <c r="G55" s="7" t="s">
        <v>37</v>
      </c>
    </row>
    <row r="56" spans="1:7" ht="11.25">
      <c r="A56" s="4">
        <f>DATE(2025,4,11)+TIME(17,51,20)</f>
        <v>45758.74398148148</v>
      </c>
      <c r="B56" s="8" t="s">
        <v>33</v>
      </c>
      <c r="C56" s="8" t="s">
        <v>178</v>
      </c>
      <c r="D56" s="8" t="s">
        <v>179</v>
      </c>
      <c r="E56" s="8" t="s">
        <v>100</v>
      </c>
      <c r="F56" s="8" t="s">
        <v>28</v>
      </c>
      <c r="G56" s="8" t="s">
        <v>37</v>
      </c>
    </row>
    <row r="57" spans="1:7" ht="11.25">
      <c r="A57" s="2">
        <f>DATE(2025,2,27)+TIME(16,46,6)</f>
        <v>45715.69868055556</v>
      </c>
      <c r="B57" s="7" t="s">
        <v>33</v>
      </c>
      <c r="C57" s="7" t="s">
        <v>180</v>
      </c>
      <c r="D57" s="7" t="s">
        <v>181</v>
      </c>
      <c r="E57" s="7" t="s">
        <v>182</v>
      </c>
      <c r="F57" s="7" t="s">
        <v>29</v>
      </c>
      <c r="G57" s="7" t="s">
        <v>37</v>
      </c>
    </row>
    <row r="58" spans="1:7" ht="11.25">
      <c r="A58" s="4">
        <f>DATE(2025,4,11)+TIME(19,47,23)</f>
        <v>45758.82457175926</v>
      </c>
      <c r="B58" s="8" t="s">
        <v>33</v>
      </c>
      <c r="C58" s="8" t="s">
        <v>183</v>
      </c>
      <c r="D58" s="8" t="s">
        <v>184</v>
      </c>
      <c r="E58" s="8" t="s">
        <v>185</v>
      </c>
      <c r="F58" s="8" t="s">
        <v>24</v>
      </c>
      <c r="G58" s="8" t="s">
        <v>37</v>
      </c>
    </row>
    <row r="59" spans="1:7" ht="11.25">
      <c r="A59" s="2">
        <f>DATE(2025,2,10)+TIME(18,40,15)</f>
        <v>45698.77795138889</v>
      </c>
      <c r="B59" s="7" t="s">
        <v>33</v>
      </c>
      <c r="C59" s="7" t="s">
        <v>186</v>
      </c>
      <c r="D59" s="7" t="s">
        <v>187</v>
      </c>
      <c r="E59" s="7" t="s">
        <v>188</v>
      </c>
      <c r="F59" s="7" t="s">
        <v>27</v>
      </c>
      <c r="G59" s="7" t="s">
        <v>37</v>
      </c>
    </row>
    <row r="60" spans="1:7" ht="11.25">
      <c r="A60" s="4">
        <f>DATE(2025,4,3)+TIME(9,32,14)</f>
        <v>45750.39738425926</v>
      </c>
      <c r="B60" s="8" t="s">
        <v>33</v>
      </c>
      <c r="C60" s="8" t="s">
        <v>189</v>
      </c>
      <c r="D60" s="8" t="s">
        <v>190</v>
      </c>
      <c r="E60" s="8" t="s">
        <v>46</v>
      </c>
      <c r="F60" s="8" t="s">
        <v>27</v>
      </c>
      <c r="G60" s="8" t="s">
        <v>37</v>
      </c>
    </row>
    <row r="61" spans="1:7" ht="11.25">
      <c r="A61" s="2">
        <f>DATE(2025,3,6)+TIME(13,43,13)</f>
        <v>45722.57167824074</v>
      </c>
      <c r="B61" s="7" t="s">
        <v>33</v>
      </c>
      <c r="C61" s="7" t="s">
        <v>191</v>
      </c>
      <c r="D61" s="7" t="s">
        <v>192</v>
      </c>
      <c r="E61" s="7" t="s">
        <v>193</v>
      </c>
      <c r="F61" s="7" t="s">
        <v>23</v>
      </c>
      <c r="G61" s="7" t="s">
        <v>37</v>
      </c>
    </row>
    <row r="62" spans="1:7" ht="11.25">
      <c r="A62" s="4">
        <f>DATE(2025,3,3)+TIME(16,16,26)</f>
        <v>45719.678078703706</v>
      </c>
      <c r="B62" s="8" t="s">
        <v>33</v>
      </c>
      <c r="C62" s="8" t="s">
        <v>194</v>
      </c>
      <c r="D62" s="8" t="s">
        <v>195</v>
      </c>
      <c r="E62" s="8" t="s">
        <v>196</v>
      </c>
      <c r="F62" s="8" t="s">
        <v>24</v>
      </c>
      <c r="G62" s="8" t="s">
        <v>37</v>
      </c>
    </row>
    <row r="63" spans="1:7" ht="11.25">
      <c r="A63" s="2">
        <f>DATE(2025,1,19)+TIME(14,57,42)</f>
        <v>45676.623402777775</v>
      </c>
      <c r="B63" s="7" t="s">
        <v>33</v>
      </c>
      <c r="C63" s="7" t="s">
        <v>197</v>
      </c>
      <c r="D63" s="7" t="s">
        <v>198</v>
      </c>
      <c r="E63" s="7" t="s">
        <v>199</v>
      </c>
      <c r="F63" s="7" t="s">
        <v>24</v>
      </c>
      <c r="G63" s="7" t="s">
        <v>37</v>
      </c>
    </row>
    <row r="64" spans="1:7" ht="11.25">
      <c r="A64" s="4">
        <f>DATE(2025,3,21)+TIME(16,21,27)</f>
        <v>45737.6815625</v>
      </c>
      <c r="B64" s="8" t="s">
        <v>33</v>
      </c>
      <c r="C64" s="8" t="s">
        <v>200</v>
      </c>
      <c r="D64" s="8" t="s">
        <v>201</v>
      </c>
      <c r="E64" s="8" t="s">
        <v>188</v>
      </c>
      <c r="F64" s="8" t="s">
        <v>23</v>
      </c>
      <c r="G64" s="8" t="s">
        <v>37</v>
      </c>
    </row>
    <row r="65" spans="1:7" ht="11.25">
      <c r="A65" s="2">
        <f>DATE(2024,11,22)+TIME(14,49,37)</f>
        <v>45618.617789351854</v>
      </c>
      <c r="B65" s="7" t="s">
        <v>33</v>
      </c>
      <c r="C65" s="7" t="s">
        <v>202</v>
      </c>
      <c r="D65" s="7" t="s">
        <v>203</v>
      </c>
      <c r="E65" s="7" t="s">
        <v>71</v>
      </c>
      <c r="F65" s="7" t="s">
        <v>27</v>
      </c>
      <c r="G65" s="7" t="s">
        <v>37</v>
      </c>
    </row>
    <row r="66" spans="1:7" ht="11.25">
      <c r="A66" s="4">
        <f>DATE(2025,3,20)+TIME(7,13,14)</f>
        <v>45736.30085648148</v>
      </c>
      <c r="B66" s="8" t="s">
        <v>33</v>
      </c>
      <c r="C66" s="8" t="s">
        <v>204</v>
      </c>
      <c r="D66" s="8" t="s">
        <v>205</v>
      </c>
      <c r="E66" s="8" t="s">
        <v>46</v>
      </c>
      <c r="F66" s="8" t="s">
        <v>25</v>
      </c>
      <c r="G66" s="8" t="s">
        <v>37</v>
      </c>
    </row>
    <row r="67" spans="1:7" ht="11.25">
      <c r="A67" s="2">
        <f>DATE(2025,3,10)+TIME(13,54,16)</f>
        <v>45726.579351851855</v>
      </c>
      <c r="B67" s="7" t="s">
        <v>33</v>
      </c>
      <c r="C67" s="7" t="s">
        <v>206</v>
      </c>
      <c r="D67" s="7" t="s">
        <v>207</v>
      </c>
      <c r="E67" s="7" t="s">
        <v>97</v>
      </c>
      <c r="F67" s="7" t="s">
        <v>27</v>
      </c>
      <c r="G67" s="7" t="s">
        <v>37</v>
      </c>
    </row>
    <row r="68" spans="1:7" ht="11.25">
      <c r="A68" s="4">
        <f>DATE(2025,2,2)+TIME(17,21,53)</f>
        <v>45690.72353009259</v>
      </c>
      <c r="B68" s="8" t="s">
        <v>33</v>
      </c>
      <c r="C68" s="8" t="s">
        <v>208</v>
      </c>
      <c r="D68" s="8" t="s">
        <v>209</v>
      </c>
      <c r="E68" s="8" t="s">
        <v>46</v>
      </c>
      <c r="F68" s="8" t="s">
        <v>25</v>
      </c>
      <c r="G68" s="8" t="s">
        <v>37</v>
      </c>
    </row>
    <row r="69" spans="1:7" ht="11.25">
      <c r="A69" s="2">
        <f>DATE(2025,2,2)+TIME(15,10,32)</f>
        <v>45690.632314814815</v>
      </c>
      <c r="B69" s="7" t="s">
        <v>33</v>
      </c>
      <c r="C69" s="7" t="s">
        <v>210</v>
      </c>
      <c r="D69" s="7" t="s">
        <v>211</v>
      </c>
      <c r="E69" s="7" t="s">
        <v>212</v>
      </c>
      <c r="F69" s="7" t="s">
        <v>24</v>
      </c>
      <c r="G69" s="7" t="s">
        <v>37</v>
      </c>
    </row>
    <row r="70" spans="1:7" ht="11.25">
      <c r="A70" s="4">
        <f>DATE(2025,2,18)+TIME(12,53,7)</f>
        <v>45706.536886574075</v>
      </c>
      <c r="B70" s="8" t="s">
        <v>33</v>
      </c>
      <c r="C70" s="8" t="s">
        <v>213</v>
      </c>
      <c r="D70" s="8" t="s">
        <v>214</v>
      </c>
      <c r="E70" s="8" t="s">
        <v>215</v>
      </c>
      <c r="F70" s="8" t="s">
        <v>25</v>
      </c>
      <c r="G70" s="8" t="s">
        <v>37</v>
      </c>
    </row>
    <row r="71" spans="1:7" ht="11.25">
      <c r="A71" s="2">
        <f>DATE(2025,4,12)+TIME(17,51,56)</f>
        <v>45759.74439814815</v>
      </c>
      <c r="B71" s="7" t="s">
        <v>33</v>
      </c>
      <c r="C71" s="7" t="s">
        <v>216</v>
      </c>
      <c r="D71" s="7" t="s">
        <v>217</v>
      </c>
      <c r="E71" s="7" t="s">
        <v>218</v>
      </c>
      <c r="F71" s="7" t="s">
        <v>26</v>
      </c>
      <c r="G71" s="7" t="s">
        <v>37</v>
      </c>
    </row>
    <row r="72" spans="1:7" ht="11.25">
      <c r="A72" s="4">
        <f>DATE(2025,3,31)+TIME(14,16,15)</f>
        <v>45747.594618055555</v>
      </c>
      <c r="B72" s="8" t="s">
        <v>33</v>
      </c>
      <c r="C72" s="8" t="s">
        <v>219</v>
      </c>
      <c r="D72" s="8" t="s">
        <v>220</v>
      </c>
      <c r="E72" s="8" t="s">
        <v>221</v>
      </c>
      <c r="F72" s="8" t="s">
        <v>29</v>
      </c>
      <c r="G72" s="8" t="s">
        <v>37</v>
      </c>
    </row>
    <row r="73" spans="1:7" ht="11.25">
      <c r="A73" s="2">
        <f>DATE(2025,2,24)+TIME(17,15,26)</f>
        <v>45712.71905092592</v>
      </c>
      <c r="B73" s="7" t="s">
        <v>33</v>
      </c>
      <c r="C73" s="7" t="s">
        <v>222</v>
      </c>
      <c r="D73" s="7" t="s">
        <v>223</v>
      </c>
      <c r="E73" s="7" t="s">
        <v>224</v>
      </c>
      <c r="F73" s="7" t="s">
        <v>29</v>
      </c>
      <c r="G73" s="7" t="s">
        <v>37</v>
      </c>
    </row>
    <row r="74" spans="1:7" ht="11.25">
      <c r="A74" s="4">
        <f>DATE(2025,2,6)+TIME(9,28,4)</f>
        <v>45694.39449074074</v>
      </c>
      <c r="B74" s="8" t="s">
        <v>33</v>
      </c>
      <c r="C74" s="8" t="s">
        <v>225</v>
      </c>
      <c r="D74" s="8" t="s">
        <v>226</v>
      </c>
      <c r="E74" s="8" t="s">
        <v>227</v>
      </c>
      <c r="F74" s="8" t="s">
        <v>23</v>
      </c>
      <c r="G74" s="8" t="s">
        <v>37</v>
      </c>
    </row>
    <row r="75" spans="1:7" ht="11.25">
      <c r="A75" s="2">
        <f>DATE(2025,4,8)+TIME(11,54,29)</f>
        <v>45755.49616898148</v>
      </c>
      <c r="B75" s="7" t="s">
        <v>33</v>
      </c>
      <c r="C75" s="7" t="s">
        <v>228</v>
      </c>
      <c r="D75" s="7" t="s">
        <v>229</v>
      </c>
      <c r="E75" s="7" t="s">
        <v>230</v>
      </c>
      <c r="F75" s="7" t="s">
        <v>28</v>
      </c>
      <c r="G75" s="7" t="s">
        <v>37</v>
      </c>
    </row>
    <row r="76" spans="1:7" ht="11.25">
      <c r="A76" s="4">
        <f>DATE(2025,3,4)+TIME(15,29,7)</f>
        <v>45720.645219907405</v>
      </c>
      <c r="B76" s="8" t="s">
        <v>33</v>
      </c>
      <c r="C76" s="8" t="s">
        <v>231</v>
      </c>
      <c r="D76" s="8" t="s">
        <v>232</v>
      </c>
      <c r="E76" s="8" t="s">
        <v>233</v>
      </c>
      <c r="F76" s="8" t="s">
        <v>24</v>
      </c>
      <c r="G76" s="8" t="s">
        <v>37</v>
      </c>
    </row>
    <row r="77" spans="1:7" ht="11.25">
      <c r="A77" s="2">
        <f>DATE(2025,4,13)+TIME(11,33,16)</f>
        <v>45760.48143518518</v>
      </c>
      <c r="B77" s="7" t="s">
        <v>33</v>
      </c>
      <c r="C77" s="7" t="s">
        <v>234</v>
      </c>
      <c r="D77" s="7" t="s">
        <v>235</v>
      </c>
      <c r="E77" s="7" t="s">
        <v>236</v>
      </c>
      <c r="F77" s="7" t="s">
        <v>23</v>
      </c>
      <c r="G77" s="7" t="s">
        <v>37</v>
      </c>
    </row>
    <row r="78" spans="1:7" ht="11.25">
      <c r="A78" s="4">
        <f>DATE(2025,1,31)+TIME(14,52,30)</f>
        <v>45688.619791666664</v>
      </c>
      <c r="B78" s="8" t="s">
        <v>33</v>
      </c>
      <c r="C78" s="8" t="s">
        <v>237</v>
      </c>
      <c r="D78" s="8" t="s">
        <v>238</v>
      </c>
      <c r="E78" s="8" t="s">
        <v>100</v>
      </c>
      <c r="F78" s="8" t="s">
        <v>25</v>
      </c>
      <c r="G78" s="8" t="s">
        <v>37</v>
      </c>
    </row>
    <row r="79" spans="1:7" ht="11.25">
      <c r="A79" s="2">
        <f>DATE(2025,4,18)+TIME(10,10,49)</f>
        <v>45765.42417824074</v>
      </c>
      <c r="B79" s="7" t="s">
        <v>33</v>
      </c>
      <c r="C79" s="7" t="s">
        <v>239</v>
      </c>
      <c r="D79" s="7" t="s">
        <v>240</v>
      </c>
      <c r="E79" s="7" t="s">
        <v>241</v>
      </c>
      <c r="F79" s="7" t="s">
        <v>26</v>
      </c>
      <c r="G79" s="7" t="s">
        <v>37</v>
      </c>
    </row>
    <row r="80" spans="1:7" ht="11.25">
      <c r="A80" s="4">
        <f>DATE(2025,4,14)+TIME(7,41,42)</f>
        <v>45761.320625</v>
      </c>
      <c r="B80" s="8" t="s">
        <v>33</v>
      </c>
      <c r="C80" s="8" t="s">
        <v>242</v>
      </c>
      <c r="D80" s="8" t="s">
        <v>243</v>
      </c>
      <c r="E80" s="8" t="s">
        <v>51</v>
      </c>
      <c r="F80" s="8" t="s">
        <v>26</v>
      </c>
      <c r="G80" s="8" t="s">
        <v>37</v>
      </c>
    </row>
    <row r="81" spans="1:7" ht="11.25">
      <c r="A81" s="2">
        <f>DATE(2025,4,14)+TIME(12,8,1)</f>
        <v>45761.50556712963</v>
      </c>
      <c r="B81" s="7" t="s">
        <v>33</v>
      </c>
      <c r="C81" s="7" t="s">
        <v>244</v>
      </c>
      <c r="D81" s="7" t="s">
        <v>245</v>
      </c>
      <c r="E81" s="7" t="s">
        <v>71</v>
      </c>
      <c r="F81" s="7" t="s">
        <v>23</v>
      </c>
      <c r="G81" s="7" t="s">
        <v>37</v>
      </c>
    </row>
    <row r="82" spans="1:7" ht="11.25">
      <c r="A82" s="4">
        <f>DATE(2025,3,20)+TIME(8,32,25)</f>
        <v>45736.355844907404</v>
      </c>
      <c r="B82" s="8" t="s">
        <v>33</v>
      </c>
      <c r="C82" s="8" t="s">
        <v>246</v>
      </c>
      <c r="D82" s="8" t="s">
        <v>247</v>
      </c>
      <c r="E82" s="8" t="s">
        <v>248</v>
      </c>
      <c r="F82" s="8" t="s">
        <v>24</v>
      </c>
      <c r="G82" s="8" t="s">
        <v>37</v>
      </c>
    </row>
    <row r="83" spans="1:7" ht="11.25">
      <c r="A83" s="2">
        <f>DATE(2024,11,25)+TIME(10,35,52)</f>
        <v>45621.44157407407</v>
      </c>
      <c r="B83" s="7" t="s">
        <v>33</v>
      </c>
      <c r="C83" s="7" t="s">
        <v>249</v>
      </c>
      <c r="D83" s="7" t="s">
        <v>250</v>
      </c>
      <c r="E83" s="7" t="s">
        <v>124</v>
      </c>
      <c r="F83" s="7" t="s">
        <v>27</v>
      </c>
      <c r="G83" s="7" t="s">
        <v>37</v>
      </c>
    </row>
    <row r="84" spans="1:7" ht="11.25">
      <c r="A84" s="4">
        <f>DATE(2025,2,24)+TIME(15,10,20)</f>
        <v>45712.63217592592</v>
      </c>
      <c r="B84" s="8" t="s">
        <v>33</v>
      </c>
      <c r="C84" s="8" t="s">
        <v>251</v>
      </c>
      <c r="D84" s="8" t="s">
        <v>252</v>
      </c>
      <c r="E84" s="8" t="s">
        <v>253</v>
      </c>
      <c r="F84" s="8" t="s">
        <v>24</v>
      </c>
      <c r="G84" s="8" t="s">
        <v>37</v>
      </c>
    </row>
    <row r="85" spans="1:7" ht="11.25">
      <c r="A85" s="2">
        <f>DATE(2025,3,10)+TIME(14,57,32)</f>
        <v>45726.62328703704</v>
      </c>
      <c r="B85" s="7" t="s">
        <v>33</v>
      </c>
      <c r="C85" s="7" t="s">
        <v>254</v>
      </c>
      <c r="D85" s="7" t="s">
        <v>255</v>
      </c>
      <c r="E85" s="7" t="s">
        <v>46</v>
      </c>
      <c r="F85" s="7" t="s">
        <v>23</v>
      </c>
      <c r="G85" s="7" t="s">
        <v>37</v>
      </c>
    </row>
    <row r="86" spans="1:7" ht="11.25">
      <c r="A86" s="4">
        <f>DATE(2025,4,13)+TIME(15,31,54)</f>
        <v>45760.647152777776</v>
      </c>
      <c r="B86" s="8" t="s">
        <v>33</v>
      </c>
      <c r="C86" s="8" t="s">
        <v>256</v>
      </c>
      <c r="D86" s="8" t="s">
        <v>257</v>
      </c>
      <c r="E86" s="8" t="s">
        <v>62</v>
      </c>
      <c r="F86" s="8" t="s">
        <v>26</v>
      </c>
      <c r="G86" s="8" t="s">
        <v>37</v>
      </c>
    </row>
    <row r="87" spans="1:7" ht="11.25">
      <c r="A87" s="2">
        <f>DATE(2025,4,3)+TIME(16,3,9)</f>
        <v>45750.668854166666</v>
      </c>
      <c r="B87" s="7" t="s">
        <v>33</v>
      </c>
      <c r="C87" s="7" t="s">
        <v>258</v>
      </c>
      <c r="D87" s="7" t="s">
        <v>259</v>
      </c>
      <c r="E87" s="7" t="s">
        <v>260</v>
      </c>
      <c r="F87" s="7" t="s">
        <v>28</v>
      </c>
      <c r="G87" s="7" t="s">
        <v>37</v>
      </c>
    </row>
    <row r="88" spans="1:7" ht="11.25">
      <c r="A88" s="4">
        <f>DATE(2025,4,11)+TIME(12,43,32)</f>
        <v>45758.53023148148</v>
      </c>
      <c r="B88" s="8" t="s">
        <v>33</v>
      </c>
      <c r="C88" s="8" t="s">
        <v>261</v>
      </c>
      <c r="D88" s="8" t="s">
        <v>262</v>
      </c>
      <c r="E88" s="8" t="s">
        <v>46</v>
      </c>
      <c r="F88" s="8" t="s">
        <v>25</v>
      </c>
      <c r="G88" s="8" t="s">
        <v>37</v>
      </c>
    </row>
    <row r="89" spans="1:7" ht="11.25">
      <c r="A89" s="2">
        <f>DATE(2025,4,7)+TIME(16,4,39)</f>
        <v>45754.669895833336</v>
      </c>
      <c r="B89" s="7" t="s">
        <v>33</v>
      </c>
      <c r="C89" s="7" t="s">
        <v>263</v>
      </c>
      <c r="D89" s="7" t="s">
        <v>264</v>
      </c>
      <c r="E89" s="7" t="s">
        <v>46</v>
      </c>
      <c r="F89" s="7" t="s">
        <v>27</v>
      </c>
      <c r="G89" s="7" t="s">
        <v>37</v>
      </c>
    </row>
    <row r="90" spans="1:7" ht="11.25">
      <c r="A90" s="4">
        <f>DATE(2025,4,13)+TIME(15,49,29)</f>
        <v>45760.659363425926</v>
      </c>
      <c r="B90" s="8" t="s">
        <v>33</v>
      </c>
      <c r="C90" s="8" t="s">
        <v>265</v>
      </c>
      <c r="D90" s="8" t="s">
        <v>266</v>
      </c>
      <c r="E90" s="8" t="s">
        <v>267</v>
      </c>
      <c r="F90" s="8" t="s">
        <v>26</v>
      </c>
      <c r="G90" s="8" t="s">
        <v>37</v>
      </c>
    </row>
    <row r="91" spans="1:7" ht="11.25">
      <c r="A91" s="2">
        <f>DATE(2025,1,22)+TIME(12,12,9)</f>
        <v>45679.5084375</v>
      </c>
      <c r="B91" s="7" t="s">
        <v>33</v>
      </c>
      <c r="C91" s="7" t="s">
        <v>268</v>
      </c>
      <c r="D91" s="7" t="s">
        <v>269</v>
      </c>
      <c r="E91" s="7" t="s">
        <v>199</v>
      </c>
      <c r="F91" s="7" t="s">
        <v>24</v>
      </c>
      <c r="G91" s="7" t="s">
        <v>37</v>
      </c>
    </row>
    <row r="92" spans="1:7" ht="11.25">
      <c r="A92" s="4">
        <f>DATE(2025,4,11)+TIME(11,7,47)</f>
        <v>45758.463738425926</v>
      </c>
      <c r="B92" s="8" t="s">
        <v>33</v>
      </c>
      <c r="C92" s="8" t="s">
        <v>270</v>
      </c>
      <c r="D92" s="8" t="s">
        <v>271</v>
      </c>
      <c r="E92" s="8" t="s">
        <v>46</v>
      </c>
      <c r="F92" s="8" t="s">
        <v>25</v>
      </c>
      <c r="G92" s="8" t="s">
        <v>37</v>
      </c>
    </row>
    <row r="93" spans="1:7" ht="11.25">
      <c r="A93" s="2">
        <f>DATE(2025,2,3)+TIME(19,13,46)</f>
        <v>45691.80122685185</v>
      </c>
      <c r="B93" s="7" t="s">
        <v>33</v>
      </c>
      <c r="C93" s="7" t="s">
        <v>272</v>
      </c>
      <c r="D93" s="7" t="s">
        <v>273</v>
      </c>
      <c r="E93" s="7" t="s">
        <v>100</v>
      </c>
      <c r="F93" s="7" t="s">
        <v>28</v>
      </c>
      <c r="G93" s="7" t="s">
        <v>37</v>
      </c>
    </row>
    <row r="94" spans="1:7" ht="11.25">
      <c r="A94" s="4">
        <f>DATE(2025,4,11)+TIME(8,55,21)</f>
        <v>45758.371770833335</v>
      </c>
      <c r="B94" s="8" t="s">
        <v>33</v>
      </c>
      <c r="C94" s="8" t="s">
        <v>274</v>
      </c>
      <c r="D94" s="8" t="s">
        <v>275</v>
      </c>
      <c r="E94" s="8" t="s">
        <v>46</v>
      </c>
      <c r="F94" s="8" t="s">
        <v>27</v>
      </c>
      <c r="G94" s="8" t="s">
        <v>37</v>
      </c>
    </row>
    <row r="95" spans="1:7" ht="11.25">
      <c r="A95" s="2">
        <f>DATE(2025,3,3)+TIME(12,46,18)</f>
        <v>45719.53215277778</v>
      </c>
      <c r="B95" s="7" t="s">
        <v>33</v>
      </c>
      <c r="C95" s="7" t="s">
        <v>276</v>
      </c>
      <c r="D95" s="7" t="s">
        <v>277</v>
      </c>
      <c r="E95" s="7" t="s">
        <v>46</v>
      </c>
      <c r="F95" s="7" t="s">
        <v>25</v>
      </c>
      <c r="G95" s="7" t="s">
        <v>37</v>
      </c>
    </row>
    <row r="96" spans="1:7" ht="11.25">
      <c r="A96" s="4">
        <f>DATE(2025,4,13)+TIME(16,50,50)</f>
        <v>45760.70196759259</v>
      </c>
      <c r="B96" s="8" t="s">
        <v>33</v>
      </c>
      <c r="C96" s="8" t="s">
        <v>278</v>
      </c>
      <c r="D96" s="8" t="s">
        <v>279</v>
      </c>
      <c r="E96" s="8" t="s">
        <v>280</v>
      </c>
      <c r="F96" s="8" t="s">
        <v>26</v>
      </c>
      <c r="G96" s="8" t="s">
        <v>37</v>
      </c>
    </row>
    <row r="97" spans="1:7" ht="11.25">
      <c r="A97" s="2">
        <f>DATE(2025,4,4)+TIME(12,52,52)</f>
        <v>45751.53671296296</v>
      </c>
      <c r="B97" s="7" t="s">
        <v>33</v>
      </c>
      <c r="C97" s="7" t="s">
        <v>281</v>
      </c>
      <c r="D97" s="7" t="s">
        <v>282</v>
      </c>
      <c r="E97" s="7" t="s">
        <v>283</v>
      </c>
      <c r="F97" s="7" t="s">
        <v>24</v>
      </c>
      <c r="G97" s="7" t="s">
        <v>37</v>
      </c>
    </row>
    <row r="98" spans="1:7" ht="11.25">
      <c r="A98" s="4">
        <f>DATE(2025,2,12)+TIME(16,3,31)</f>
        <v>45700.6691087963</v>
      </c>
      <c r="B98" s="8" t="s">
        <v>33</v>
      </c>
      <c r="C98" s="8" t="s">
        <v>284</v>
      </c>
      <c r="D98" s="8" t="s">
        <v>285</v>
      </c>
      <c r="E98" s="8" t="s">
        <v>286</v>
      </c>
      <c r="F98" s="8" t="s">
        <v>29</v>
      </c>
      <c r="G98" s="8" t="s">
        <v>37</v>
      </c>
    </row>
    <row r="99" spans="1:7" ht="11.25">
      <c r="A99" s="2">
        <f>DATE(2025,4,10)+TIME(20,5,22)</f>
        <v>45757.837060185186</v>
      </c>
      <c r="B99" s="7" t="s">
        <v>33</v>
      </c>
      <c r="C99" s="7" t="s">
        <v>287</v>
      </c>
      <c r="D99" s="7" t="s">
        <v>288</v>
      </c>
      <c r="E99" s="7" t="s">
        <v>289</v>
      </c>
      <c r="F99" s="7" t="s">
        <v>26</v>
      </c>
      <c r="G99" s="7" t="s">
        <v>37</v>
      </c>
    </row>
    <row r="100" spans="1:7" ht="11.25">
      <c r="A100" s="4">
        <f>DATE(2025,3,24)+TIME(15,2,19)</f>
        <v>45740.626608796294</v>
      </c>
      <c r="B100" s="8" t="s">
        <v>33</v>
      </c>
      <c r="C100" s="8" t="s">
        <v>290</v>
      </c>
      <c r="D100" s="8" t="s">
        <v>291</v>
      </c>
      <c r="E100" s="8" t="s">
        <v>292</v>
      </c>
      <c r="F100" s="8" t="s">
        <v>23</v>
      </c>
      <c r="G100" s="8" t="s">
        <v>37</v>
      </c>
    </row>
    <row r="101" spans="1:7" ht="11.25">
      <c r="A101" s="2">
        <f>DATE(2025,3,10)+TIME(13,31,25)</f>
        <v>45726.56348379629</v>
      </c>
      <c r="B101" s="7" t="s">
        <v>33</v>
      </c>
      <c r="C101" s="7" t="s">
        <v>41</v>
      </c>
      <c r="D101" s="7" t="s">
        <v>129</v>
      </c>
      <c r="E101" s="7" t="s">
        <v>130</v>
      </c>
      <c r="F101" s="7" t="s">
        <v>23</v>
      </c>
      <c r="G101" s="7" t="s">
        <v>37</v>
      </c>
    </row>
    <row r="102" spans="1:7" ht="11.25">
      <c r="A102" s="4">
        <f>DATE(2025,3,5)+TIME(5,34,9)</f>
        <v>45721.23204861111</v>
      </c>
      <c r="B102" s="8" t="s">
        <v>33</v>
      </c>
      <c r="C102" s="8" t="s">
        <v>293</v>
      </c>
      <c r="D102" s="8" t="s">
        <v>294</v>
      </c>
      <c r="E102" s="8" t="s">
        <v>46</v>
      </c>
      <c r="F102" s="8" t="s">
        <v>27</v>
      </c>
      <c r="G102" s="8" t="s">
        <v>37</v>
      </c>
    </row>
    <row r="103" spans="1:7" ht="11.25">
      <c r="A103" s="2">
        <f>DATE(2025,4,13)+TIME(18,21,4)</f>
        <v>45760.76462962963</v>
      </c>
      <c r="B103" s="7" t="s">
        <v>33</v>
      </c>
      <c r="C103" s="7" t="s">
        <v>295</v>
      </c>
      <c r="D103" s="7" t="s">
        <v>296</v>
      </c>
      <c r="E103" s="7" t="s">
        <v>297</v>
      </c>
      <c r="F103" s="7" t="s">
        <v>23</v>
      </c>
      <c r="G103" s="7" t="s">
        <v>37</v>
      </c>
    </row>
    <row r="104" spans="1:7" ht="11.25">
      <c r="A104" s="4">
        <f>DATE(2025,1,16)+TIME(15,57,56)</f>
        <v>45673.66523148148</v>
      </c>
      <c r="B104" s="8" t="s">
        <v>33</v>
      </c>
      <c r="C104" s="8" t="s">
        <v>298</v>
      </c>
      <c r="D104" s="8" t="s">
        <v>299</v>
      </c>
      <c r="E104" s="8" t="s">
        <v>300</v>
      </c>
      <c r="F104" s="8" t="s">
        <v>25</v>
      </c>
      <c r="G104" s="8" t="s">
        <v>37</v>
      </c>
    </row>
    <row r="105" spans="1:7" ht="11.25">
      <c r="A105" s="2">
        <f>DATE(2025,3,21)+TIME(3,4,42)</f>
        <v>45737.12826388889</v>
      </c>
      <c r="B105" s="7" t="s">
        <v>33</v>
      </c>
      <c r="C105" s="7" t="s">
        <v>301</v>
      </c>
      <c r="D105" s="7" t="s">
        <v>302</v>
      </c>
      <c r="E105" s="7" t="s">
        <v>303</v>
      </c>
      <c r="F105" s="7" t="s">
        <v>23</v>
      </c>
      <c r="G105" s="7" t="s">
        <v>37</v>
      </c>
    </row>
    <row r="106" spans="1:7" ht="11.25">
      <c r="A106" s="4">
        <f>DATE(2025,3,11)+TIME(9,26,57)</f>
        <v>45727.39371527778</v>
      </c>
      <c r="B106" s="8" t="s">
        <v>33</v>
      </c>
      <c r="C106" s="8" t="s">
        <v>304</v>
      </c>
      <c r="D106" s="8" t="s">
        <v>305</v>
      </c>
      <c r="E106" s="8" t="s">
        <v>306</v>
      </c>
      <c r="F106" s="8" t="s">
        <v>23</v>
      </c>
      <c r="G106" s="8" t="s">
        <v>37</v>
      </c>
    </row>
    <row r="107" spans="1:7" ht="11.25">
      <c r="A107" s="2">
        <f>DATE(2024,12,19)+TIME(14,43,48)</f>
        <v>45645.61375</v>
      </c>
      <c r="B107" s="7" t="s">
        <v>33</v>
      </c>
      <c r="C107" s="7" t="s">
        <v>307</v>
      </c>
      <c r="D107" s="7" t="s">
        <v>308</v>
      </c>
      <c r="E107" s="7" t="s">
        <v>185</v>
      </c>
      <c r="F107" s="7" t="s">
        <v>23</v>
      </c>
      <c r="G107" s="7" t="s">
        <v>37</v>
      </c>
    </row>
    <row r="108" spans="1:7" ht="11.25">
      <c r="A108" s="4">
        <f>DATE(2025,3,11)+TIME(11,46,35)</f>
        <v>45727.49068287037</v>
      </c>
      <c r="B108" s="8" t="s">
        <v>33</v>
      </c>
      <c r="C108" s="8" t="s">
        <v>309</v>
      </c>
      <c r="D108" s="8" t="s">
        <v>310</v>
      </c>
      <c r="E108" s="8" t="s">
        <v>311</v>
      </c>
      <c r="F108" s="8" t="s">
        <v>24</v>
      </c>
      <c r="G108" s="8" t="s">
        <v>37</v>
      </c>
    </row>
    <row r="109" spans="1:7" ht="11.25">
      <c r="A109" s="2">
        <f>DATE(2025,4,13)+TIME(15,43,21)</f>
        <v>45760.65510416667</v>
      </c>
      <c r="B109" s="7" t="s">
        <v>33</v>
      </c>
      <c r="C109" s="7" t="s">
        <v>312</v>
      </c>
      <c r="D109" s="7" t="s">
        <v>313</v>
      </c>
      <c r="E109" s="7" t="s">
        <v>314</v>
      </c>
      <c r="F109" s="7" t="s">
        <v>26</v>
      </c>
      <c r="G109" s="7" t="s">
        <v>37</v>
      </c>
    </row>
    <row r="110" spans="1:7" ht="11.25">
      <c r="A110" s="4">
        <f>DATE(2025,4,11)+TIME(16,35,11)</f>
        <v>45758.691099537034</v>
      </c>
      <c r="B110" s="8" t="s">
        <v>33</v>
      </c>
      <c r="C110" s="8" t="s">
        <v>315</v>
      </c>
      <c r="D110" s="8" t="s">
        <v>316</v>
      </c>
      <c r="E110" s="8" t="s">
        <v>317</v>
      </c>
      <c r="F110" s="8" t="s">
        <v>24</v>
      </c>
      <c r="G110" s="8" t="s">
        <v>37</v>
      </c>
    </row>
    <row r="111" spans="1:7" ht="11.25">
      <c r="A111" s="2">
        <f>DATE(2025,3,21)+TIME(9,58,0)</f>
        <v>45737.41527777778</v>
      </c>
      <c r="B111" s="7" t="s">
        <v>33</v>
      </c>
      <c r="C111" s="7" t="s">
        <v>318</v>
      </c>
      <c r="D111" s="7" t="s">
        <v>319</v>
      </c>
      <c r="E111" s="7" t="s">
        <v>46</v>
      </c>
      <c r="F111" s="7" t="s">
        <v>28</v>
      </c>
      <c r="G111" s="7" t="s">
        <v>37</v>
      </c>
    </row>
    <row r="112" spans="1:7" ht="11.25">
      <c r="A112" s="4">
        <f>DATE(2025,3,18)+TIME(10,55,3)</f>
        <v>45734.45489583333</v>
      </c>
      <c r="B112" s="8" t="s">
        <v>33</v>
      </c>
      <c r="C112" s="8" t="s">
        <v>320</v>
      </c>
      <c r="D112" s="8" t="s">
        <v>321</v>
      </c>
      <c r="E112" s="8" t="s">
        <v>71</v>
      </c>
      <c r="F112" s="8" t="s">
        <v>27</v>
      </c>
      <c r="G112" s="8" t="s">
        <v>37</v>
      </c>
    </row>
    <row r="113" spans="1:7" ht="11.25">
      <c r="A113" s="2">
        <f>DATE(2025,3,10)+TIME(9,53,12)</f>
        <v>45726.411944444444</v>
      </c>
      <c r="B113" s="7" t="s">
        <v>33</v>
      </c>
      <c r="C113" s="7" t="s">
        <v>322</v>
      </c>
      <c r="D113" s="7" t="s">
        <v>323</v>
      </c>
      <c r="E113" s="7" t="s">
        <v>97</v>
      </c>
      <c r="F113" s="7" t="s">
        <v>23</v>
      </c>
      <c r="G113" s="7" t="s">
        <v>37</v>
      </c>
    </row>
    <row r="114" spans="1:7" ht="11.25">
      <c r="A114" s="4">
        <f>DATE(2025,4,8)+TIME(12,31,22)</f>
        <v>45755.521782407406</v>
      </c>
      <c r="B114" s="8" t="s">
        <v>33</v>
      </c>
      <c r="C114" s="8" t="s">
        <v>324</v>
      </c>
      <c r="D114" s="8" t="s">
        <v>325</v>
      </c>
      <c r="E114" s="8" t="s">
        <v>326</v>
      </c>
      <c r="F114" s="8" t="s">
        <v>28</v>
      </c>
      <c r="G114" s="8" t="s">
        <v>37</v>
      </c>
    </row>
    <row r="115" spans="1:7" ht="11.25">
      <c r="A115" s="2">
        <f>DATE(2025,4,16)+TIME(16,2,55)</f>
        <v>45763.66869212963</v>
      </c>
      <c r="B115" s="7" t="s">
        <v>33</v>
      </c>
      <c r="C115" s="7" t="s">
        <v>327</v>
      </c>
      <c r="D115" s="7" t="s">
        <v>328</v>
      </c>
      <c r="E115" s="7" t="s">
        <v>329</v>
      </c>
      <c r="F115" s="7" t="s">
        <v>23</v>
      </c>
      <c r="G115" s="7" t="s">
        <v>37</v>
      </c>
    </row>
    <row r="116" spans="1:7" ht="11.25">
      <c r="A116" s="4">
        <f>DATE(2025,3,3)+TIME(14,45,57)</f>
        <v>45719.61524305555</v>
      </c>
      <c r="B116" s="8" t="s">
        <v>33</v>
      </c>
      <c r="C116" s="8" t="s">
        <v>330</v>
      </c>
      <c r="D116" s="8" t="s">
        <v>331</v>
      </c>
      <c r="E116" s="8" t="s">
        <v>332</v>
      </c>
      <c r="F116" s="8" t="s">
        <v>29</v>
      </c>
      <c r="G116" s="8" t="s">
        <v>37</v>
      </c>
    </row>
    <row r="117" spans="1:7" ht="11.25">
      <c r="A117" s="2">
        <f>DATE(2025,4,4)+TIME(11,57,4)</f>
        <v>45751.49796296296</v>
      </c>
      <c r="B117" s="7" t="s">
        <v>33</v>
      </c>
      <c r="C117" s="7" t="s">
        <v>333</v>
      </c>
      <c r="D117" s="7" t="s">
        <v>334</v>
      </c>
      <c r="E117" s="7" t="s">
        <v>46</v>
      </c>
      <c r="F117" s="7" t="s">
        <v>23</v>
      </c>
      <c r="G117" s="7" t="s">
        <v>37</v>
      </c>
    </row>
    <row r="118" spans="1:7" ht="11.25">
      <c r="A118" s="4">
        <f>DATE(2025,3,3)+TIME(9,29,27)</f>
        <v>45719.39545138889</v>
      </c>
      <c r="B118" s="8" t="s">
        <v>33</v>
      </c>
      <c r="C118" s="8" t="s">
        <v>335</v>
      </c>
      <c r="D118" s="8" t="s">
        <v>336</v>
      </c>
      <c r="E118" s="8" t="s">
        <v>233</v>
      </c>
      <c r="F118" s="8" t="s">
        <v>23</v>
      </c>
      <c r="G118" s="8" t="s">
        <v>37</v>
      </c>
    </row>
    <row r="119" spans="1:7" ht="11.25">
      <c r="A119" s="2">
        <f>DATE(2025,4,4)+TIME(16,33,20)</f>
        <v>45751.68981481482</v>
      </c>
      <c r="B119" s="7" t="s">
        <v>33</v>
      </c>
      <c r="C119" s="7" t="s">
        <v>337</v>
      </c>
      <c r="D119" s="7" t="s">
        <v>338</v>
      </c>
      <c r="E119" s="7" t="s">
        <v>97</v>
      </c>
      <c r="F119" s="7" t="s">
        <v>25</v>
      </c>
      <c r="G119" s="7" t="s">
        <v>37</v>
      </c>
    </row>
    <row r="120" spans="1:7" ht="11.25">
      <c r="A120" s="4">
        <f>DATE(2025,3,20)+TIME(13,1,8)</f>
        <v>45736.5424537037</v>
      </c>
      <c r="B120" s="8" t="s">
        <v>33</v>
      </c>
      <c r="C120" s="8" t="s">
        <v>339</v>
      </c>
      <c r="D120" s="8" t="s">
        <v>340</v>
      </c>
      <c r="E120" s="8" t="s">
        <v>341</v>
      </c>
      <c r="F120" s="8" t="s">
        <v>28</v>
      </c>
      <c r="G120" s="8" t="s">
        <v>37</v>
      </c>
    </row>
    <row r="121" spans="1:7" ht="11.25">
      <c r="A121" s="2">
        <f>DATE(2025,3,10)+TIME(14,13,26)</f>
        <v>45726.59266203704</v>
      </c>
      <c r="B121" s="7" t="s">
        <v>33</v>
      </c>
      <c r="C121" s="7" t="s">
        <v>41</v>
      </c>
      <c r="D121" s="7" t="s">
        <v>342</v>
      </c>
      <c r="E121" s="7" t="s">
        <v>341</v>
      </c>
      <c r="F121" s="7" t="s">
        <v>24</v>
      </c>
      <c r="G121" s="7" t="s">
        <v>37</v>
      </c>
    </row>
    <row r="122" spans="1:7" ht="11.25">
      <c r="A122" s="4">
        <f>DATE(2025,1,22)+TIME(12,12,5)</f>
        <v>45679.5083912037</v>
      </c>
      <c r="B122" s="8" t="s">
        <v>33</v>
      </c>
      <c r="C122" s="8" t="s">
        <v>343</v>
      </c>
      <c r="D122" s="8" t="s">
        <v>344</v>
      </c>
      <c r="E122" s="8" t="s">
        <v>345</v>
      </c>
      <c r="F122" s="8" t="s">
        <v>24</v>
      </c>
      <c r="G122" s="8" t="s">
        <v>37</v>
      </c>
    </row>
    <row r="123" spans="1:7" ht="11.25">
      <c r="A123" s="2">
        <f>DATE(2025,3,4)+TIME(9,50,55)</f>
        <v>45720.410358796296</v>
      </c>
      <c r="B123" s="7" t="s">
        <v>33</v>
      </c>
      <c r="C123" s="7" t="s">
        <v>346</v>
      </c>
      <c r="D123" s="7" t="s">
        <v>347</v>
      </c>
      <c r="E123" s="7" t="s">
        <v>260</v>
      </c>
      <c r="F123" s="7" t="s">
        <v>25</v>
      </c>
      <c r="G123" s="7" t="s">
        <v>37</v>
      </c>
    </row>
    <row r="124" spans="1:7" ht="11.25">
      <c r="A124" s="4">
        <f>DATE(2025,2,3)+TIME(11,24,32)</f>
        <v>45691.47537037037</v>
      </c>
      <c r="B124" s="8" t="s">
        <v>33</v>
      </c>
      <c r="C124" s="8" t="s">
        <v>348</v>
      </c>
      <c r="D124" s="8" t="s">
        <v>349</v>
      </c>
      <c r="E124" s="8" t="s">
        <v>350</v>
      </c>
      <c r="F124" s="8" t="s">
        <v>25</v>
      </c>
      <c r="G124" s="8" t="s">
        <v>37</v>
      </c>
    </row>
    <row r="125" spans="1:7" ht="11.25">
      <c r="A125" s="2">
        <f>DATE(2025,2,12)+TIME(14,58,45)</f>
        <v>45700.624131944445</v>
      </c>
      <c r="B125" s="7" t="s">
        <v>33</v>
      </c>
      <c r="C125" s="7" t="s">
        <v>351</v>
      </c>
      <c r="D125" s="7" t="s">
        <v>352</v>
      </c>
      <c r="E125" s="7" t="s">
        <v>353</v>
      </c>
      <c r="F125" s="7" t="s">
        <v>28</v>
      </c>
      <c r="G125" s="7" t="s">
        <v>37</v>
      </c>
    </row>
    <row r="126" spans="1:7" ht="11.25">
      <c r="A126" s="4">
        <f>DATE(2025,4,1)+TIME(14,40,47)</f>
        <v>45748.611655092594</v>
      </c>
      <c r="B126" s="8" t="s">
        <v>33</v>
      </c>
      <c r="C126" s="8" t="s">
        <v>354</v>
      </c>
      <c r="D126" s="8" t="s">
        <v>355</v>
      </c>
      <c r="E126" s="8" t="s">
        <v>356</v>
      </c>
      <c r="F126" s="8" t="s">
        <v>29</v>
      </c>
      <c r="G126" s="8" t="s">
        <v>37</v>
      </c>
    </row>
    <row r="127" spans="1:7" ht="11.25">
      <c r="A127" s="2">
        <f>DATE(2025,4,3)+TIME(12,8,22)</f>
        <v>45750.50581018518</v>
      </c>
      <c r="B127" s="7" t="s">
        <v>33</v>
      </c>
      <c r="C127" s="7" t="s">
        <v>357</v>
      </c>
      <c r="D127" s="7" t="s">
        <v>358</v>
      </c>
      <c r="E127" s="7" t="s">
        <v>100</v>
      </c>
      <c r="F127" s="7" t="s">
        <v>27</v>
      </c>
      <c r="G127" s="7" t="s">
        <v>37</v>
      </c>
    </row>
    <row r="128" spans="1:7" ht="11.25">
      <c r="A128" s="4">
        <f>DATE(2025,4,13)+TIME(16,13,35)</f>
        <v>45760.676099537035</v>
      </c>
      <c r="B128" s="8" t="s">
        <v>33</v>
      </c>
      <c r="C128" s="8" t="s">
        <v>359</v>
      </c>
      <c r="D128" s="8" t="s">
        <v>288</v>
      </c>
      <c r="E128" s="8" t="s">
        <v>360</v>
      </c>
      <c r="F128" s="8" t="s">
        <v>26</v>
      </c>
      <c r="G128" s="8" t="s">
        <v>37</v>
      </c>
    </row>
    <row r="129" spans="1:7" ht="11.25">
      <c r="A129" s="2">
        <f>DATE(2025,3,3)+TIME(17,19,59)</f>
        <v>45719.72221064815</v>
      </c>
      <c r="B129" s="7" t="s">
        <v>33</v>
      </c>
      <c r="C129" s="7" t="s">
        <v>361</v>
      </c>
      <c r="D129" s="7" t="s">
        <v>362</v>
      </c>
      <c r="E129" s="7" t="s">
        <v>363</v>
      </c>
      <c r="F129" s="7" t="s">
        <v>27</v>
      </c>
      <c r="G129" s="7" t="s">
        <v>37</v>
      </c>
    </row>
    <row r="130" spans="1:7" ht="11.25">
      <c r="A130" s="4">
        <f>DATE(2025,3,3)+TIME(16,15,56)</f>
        <v>45719.67773148148</v>
      </c>
      <c r="B130" s="8" t="s">
        <v>33</v>
      </c>
      <c r="C130" s="8" t="s">
        <v>364</v>
      </c>
      <c r="D130" s="8" t="s">
        <v>365</v>
      </c>
      <c r="E130" s="8" t="s">
        <v>97</v>
      </c>
      <c r="F130" s="8" t="s">
        <v>25</v>
      </c>
      <c r="G130" s="8" t="s">
        <v>37</v>
      </c>
    </row>
    <row r="131" spans="1:7" ht="11.25">
      <c r="A131" s="2">
        <f>DATE(2025,4,15)+TIME(11,42,34)</f>
        <v>45762.48789351852</v>
      </c>
      <c r="B131" s="7" t="s">
        <v>33</v>
      </c>
      <c r="C131" s="7" t="s">
        <v>366</v>
      </c>
      <c r="D131" s="7" t="s">
        <v>367</v>
      </c>
      <c r="E131" s="7" t="s">
        <v>368</v>
      </c>
      <c r="F131" s="7" t="s">
        <v>23</v>
      </c>
      <c r="G131" s="7" t="s">
        <v>37</v>
      </c>
    </row>
    <row r="132" spans="1:7" ht="11.25">
      <c r="A132" s="4">
        <f>DATE(2025,4,13)+TIME(16,34,0)</f>
        <v>45760.69027777778</v>
      </c>
      <c r="B132" s="8" t="s">
        <v>33</v>
      </c>
      <c r="C132" s="8" t="s">
        <v>369</v>
      </c>
      <c r="D132" s="8" t="s">
        <v>370</v>
      </c>
      <c r="E132" s="8" t="s">
        <v>371</v>
      </c>
      <c r="F132" s="8" t="s">
        <v>26</v>
      </c>
      <c r="G132" s="8" t="s">
        <v>37</v>
      </c>
    </row>
    <row r="133" spans="1:7" ht="11.25">
      <c r="A133" s="2">
        <f>DATE(2025,2,11)+TIME(15,21,4)</f>
        <v>45699.63962962963</v>
      </c>
      <c r="B133" s="7" t="s">
        <v>33</v>
      </c>
      <c r="C133" s="7" t="s">
        <v>372</v>
      </c>
      <c r="D133" s="7" t="s">
        <v>373</v>
      </c>
      <c r="E133" s="7" t="s">
        <v>374</v>
      </c>
      <c r="F133" s="7" t="s">
        <v>29</v>
      </c>
      <c r="G133" s="7" t="s">
        <v>37</v>
      </c>
    </row>
    <row r="134" spans="1:7" ht="11.25">
      <c r="A134" s="4">
        <f>DATE(2025,4,13)+TIME(17,5,16)</f>
        <v>45760.71199074074</v>
      </c>
      <c r="B134" s="8" t="s">
        <v>33</v>
      </c>
      <c r="C134" s="8" t="s">
        <v>375</v>
      </c>
      <c r="D134" s="8" t="s">
        <v>376</v>
      </c>
      <c r="E134" s="8" t="s">
        <v>377</v>
      </c>
      <c r="F134" s="8" t="s">
        <v>26</v>
      </c>
      <c r="G134" s="8" t="s">
        <v>37</v>
      </c>
    </row>
    <row r="135" spans="1:7" ht="11.25">
      <c r="A135" s="2">
        <f>DATE(2025,3,4)+TIME(9,44,5)</f>
        <v>45720.40561342592</v>
      </c>
      <c r="B135" s="7" t="s">
        <v>33</v>
      </c>
      <c r="C135" s="7" t="s">
        <v>378</v>
      </c>
      <c r="D135" s="7" t="s">
        <v>379</v>
      </c>
      <c r="E135" s="7" t="s">
        <v>46</v>
      </c>
      <c r="F135" s="7" t="s">
        <v>25</v>
      </c>
      <c r="G135" s="7" t="s">
        <v>37</v>
      </c>
    </row>
    <row r="136" spans="1:7" ht="11.25">
      <c r="A136" s="4">
        <f>DATE(2025,2,27)+TIME(14,45,10)</f>
        <v>45715.614699074074</v>
      </c>
      <c r="B136" s="8" t="s">
        <v>33</v>
      </c>
      <c r="C136" s="8" t="s">
        <v>380</v>
      </c>
      <c r="D136" s="8" t="s">
        <v>381</v>
      </c>
      <c r="E136" s="8" t="s">
        <v>182</v>
      </c>
      <c r="F136" s="8" t="s">
        <v>24</v>
      </c>
      <c r="G136" s="8" t="s">
        <v>37</v>
      </c>
    </row>
    <row r="137" spans="1:7" ht="11.25">
      <c r="A137" s="2">
        <f>DATE(2025,2,5)+TIME(15,30,57)</f>
        <v>45693.64649305555</v>
      </c>
      <c r="B137" s="7" t="s">
        <v>33</v>
      </c>
      <c r="C137" s="7" t="s">
        <v>382</v>
      </c>
      <c r="D137" s="7" t="s">
        <v>383</v>
      </c>
      <c r="E137" s="7" t="s">
        <v>71</v>
      </c>
      <c r="F137" s="7" t="s">
        <v>27</v>
      </c>
      <c r="G137" s="7" t="s">
        <v>37</v>
      </c>
    </row>
    <row r="138" spans="1:7" ht="11.25">
      <c r="A138" s="4">
        <f>DATE(2025,4,14)+TIME(21,52,46)</f>
        <v>45761.91164351852</v>
      </c>
      <c r="B138" s="8" t="s">
        <v>33</v>
      </c>
      <c r="C138" s="8" t="s">
        <v>384</v>
      </c>
      <c r="D138" s="8" t="s">
        <v>385</v>
      </c>
      <c r="E138" s="8" t="s">
        <v>386</v>
      </c>
      <c r="F138" s="8" t="s">
        <v>26</v>
      </c>
      <c r="G138" s="8" t="s">
        <v>37</v>
      </c>
    </row>
    <row r="139" spans="1:7" ht="11.25">
      <c r="A139" s="2">
        <f>DATE(2025,2,12)+TIME(17,59,10)</f>
        <v>45700.7494212963</v>
      </c>
      <c r="B139" s="7" t="s">
        <v>33</v>
      </c>
      <c r="C139" s="7" t="s">
        <v>387</v>
      </c>
      <c r="D139" s="7" t="s">
        <v>388</v>
      </c>
      <c r="E139" s="7" t="s">
        <v>46</v>
      </c>
      <c r="F139" s="7" t="s">
        <v>23</v>
      </c>
      <c r="G139" s="7" t="s">
        <v>37</v>
      </c>
    </row>
    <row r="140" spans="1:7" ht="11.25">
      <c r="A140" s="4">
        <f>DATE(2024,12,2)+TIME(15,6,57)</f>
        <v>45628.62982638889</v>
      </c>
      <c r="B140" s="8" t="s">
        <v>33</v>
      </c>
      <c r="C140" s="8" t="s">
        <v>389</v>
      </c>
      <c r="D140" s="8" t="s">
        <v>390</v>
      </c>
      <c r="E140" s="8" t="s">
        <v>391</v>
      </c>
      <c r="F140" s="8" t="s">
        <v>24</v>
      </c>
      <c r="G140" s="8" t="s">
        <v>37</v>
      </c>
    </row>
    <row r="141" spans="1:7" ht="11.25">
      <c r="A141" s="2">
        <f>DATE(2025,4,13)+TIME(16,27,39)</f>
        <v>45760.68586805555</v>
      </c>
      <c r="B141" s="7" t="s">
        <v>33</v>
      </c>
      <c r="C141" s="7" t="s">
        <v>392</v>
      </c>
      <c r="D141" s="7" t="s">
        <v>393</v>
      </c>
      <c r="E141" s="7" t="s">
        <v>394</v>
      </c>
      <c r="F141" s="7" t="s">
        <v>26</v>
      </c>
      <c r="G141" s="7" t="s">
        <v>37</v>
      </c>
    </row>
    <row r="142" spans="1:7" ht="11.25">
      <c r="A142" s="4">
        <f>DATE(2025,1,22)+TIME(22,23,38)</f>
        <v>45679.9330787037</v>
      </c>
      <c r="B142" s="8" t="s">
        <v>33</v>
      </c>
      <c r="C142" s="8" t="s">
        <v>162</v>
      </c>
      <c r="D142" s="8" t="s">
        <v>395</v>
      </c>
      <c r="E142" s="8" t="s">
        <v>150</v>
      </c>
      <c r="F142" s="8" t="s">
        <v>23</v>
      </c>
      <c r="G142" s="8" t="s">
        <v>37</v>
      </c>
    </row>
    <row r="143" spans="1:7" ht="11.25">
      <c r="A143" s="2">
        <f>DATE(2025,4,13)+TIME(16,30,31)</f>
        <v>45760.68785879629</v>
      </c>
      <c r="B143" s="7" t="s">
        <v>33</v>
      </c>
      <c r="C143" s="7" t="s">
        <v>396</v>
      </c>
      <c r="D143" s="7" t="s">
        <v>397</v>
      </c>
      <c r="E143" s="7" t="s">
        <v>314</v>
      </c>
      <c r="F143" s="7" t="s">
        <v>26</v>
      </c>
      <c r="G143" s="7" t="s">
        <v>37</v>
      </c>
    </row>
    <row r="144" spans="1:7" ht="11.25">
      <c r="A144" s="4">
        <f>DATE(2025,3,12)+TIME(13,22,6)</f>
        <v>45728.55701388889</v>
      </c>
      <c r="B144" s="8" t="s">
        <v>33</v>
      </c>
      <c r="C144" s="8" t="s">
        <v>398</v>
      </c>
      <c r="D144" s="8" t="s">
        <v>399</v>
      </c>
      <c r="E144" s="8" t="s">
        <v>400</v>
      </c>
      <c r="F144" s="8" t="s">
        <v>23</v>
      </c>
      <c r="G144" s="8" t="s">
        <v>37</v>
      </c>
    </row>
    <row r="145" spans="1:7" ht="11.25">
      <c r="A145" s="2">
        <f>DATE(2025,4,7)+TIME(10,24,10)</f>
        <v>45754.43344907407</v>
      </c>
      <c r="B145" s="7" t="s">
        <v>33</v>
      </c>
      <c r="C145" s="7" t="s">
        <v>104</v>
      </c>
      <c r="D145" s="7" t="s">
        <v>401</v>
      </c>
      <c r="E145" s="7" t="s">
        <v>46</v>
      </c>
      <c r="F145" s="7" t="s">
        <v>25</v>
      </c>
      <c r="G145" s="7" t="s">
        <v>37</v>
      </c>
    </row>
    <row r="146" spans="1:7" ht="11.25">
      <c r="A146" s="4">
        <f>DATE(2025,3,20)+TIME(14,29,45)</f>
        <v>45736.603993055556</v>
      </c>
      <c r="B146" s="8" t="s">
        <v>33</v>
      </c>
      <c r="C146" s="8" t="s">
        <v>402</v>
      </c>
      <c r="D146" s="8" t="s">
        <v>403</v>
      </c>
      <c r="E146" s="8" t="s">
        <v>188</v>
      </c>
      <c r="F146" s="8" t="s">
        <v>25</v>
      </c>
      <c r="G146" s="8" t="s">
        <v>37</v>
      </c>
    </row>
    <row r="147" spans="1:7" ht="11.25">
      <c r="A147" s="2">
        <f>DATE(2025,2,28)+TIME(11,22,52)</f>
        <v>45716.47421296296</v>
      </c>
      <c r="B147" s="7" t="s">
        <v>33</v>
      </c>
      <c r="C147" s="7" t="s">
        <v>404</v>
      </c>
      <c r="D147" s="7" t="s">
        <v>405</v>
      </c>
      <c r="E147" s="7" t="s">
        <v>103</v>
      </c>
      <c r="F147" s="7" t="s">
        <v>24</v>
      </c>
      <c r="G147" s="7" t="s">
        <v>37</v>
      </c>
    </row>
    <row r="148" spans="1:7" ht="11.25">
      <c r="A148" s="4">
        <f>DATE(2025,3,21)+TIME(10,24,7)</f>
        <v>45737.43341435185</v>
      </c>
      <c r="B148" s="8" t="s">
        <v>33</v>
      </c>
      <c r="C148" s="8" t="s">
        <v>406</v>
      </c>
      <c r="D148" s="8" t="s">
        <v>407</v>
      </c>
      <c r="E148" s="8" t="s">
        <v>408</v>
      </c>
      <c r="F148" s="8" t="s">
        <v>24</v>
      </c>
      <c r="G148" s="8" t="s">
        <v>37</v>
      </c>
    </row>
    <row r="149" spans="1:7" ht="11.25">
      <c r="A149" s="2">
        <f>DATE(2025,4,13)+TIME(20,56,49)</f>
        <v>45760.87278935185</v>
      </c>
      <c r="B149" s="7" t="s">
        <v>33</v>
      </c>
      <c r="C149" s="7" t="s">
        <v>409</v>
      </c>
      <c r="D149" s="7" t="s">
        <v>410</v>
      </c>
      <c r="E149" s="7" t="s">
        <v>411</v>
      </c>
      <c r="F149" s="7" t="s">
        <v>24</v>
      </c>
      <c r="G149" s="7" t="s">
        <v>37</v>
      </c>
    </row>
    <row r="150" spans="1:7" ht="11.25">
      <c r="A150" s="4">
        <f>DATE(2024,11,19)+TIME(16,49,15)</f>
        <v>45615.70086805556</v>
      </c>
      <c r="B150" s="8" t="s">
        <v>33</v>
      </c>
      <c r="C150" s="8" t="s">
        <v>412</v>
      </c>
      <c r="D150" s="8" t="s">
        <v>413</v>
      </c>
      <c r="E150" s="8" t="s">
        <v>414</v>
      </c>
      <c r="F150" s="8" t="s">
        <v>27</v>
      </c>
      <c r="G150" s="8" t="s">
        <v>37</v>
      </c>
    </row>
    <row r="151" spans="1:7" ht="11.25">
      <c r="A151" s="2">
        <f>DATE(2025,1,16)+TIME(14,37,45)</f>
        <v>45673.60954861111</v>
      </c>
      <c r="B151" s="7" t="s">
        <v>33</v>
      </c>
      <c r="C151" s="7" t="s">
        <v>415</v>
      </c>
      <c r="D151" s="7" t="s">
        <v>416</v>
      </c>
      <c r="E151" s="7" t="s">
        <v>417</v>
      </c>
      <c r="F151" s="7" t="s">
        <v>24</v>
      </c>
      <c r="G151" s="7" t="s">
        <v>37</v>
      </c>
    </row>
    <row r="152" spans="1:7" ht="11.25">
      <c r="A152" s="4">
        <f>DATE(2025,3,14)+TIME(10,49,33)</f>
        <v>45730.45107638889</v>
      </c>
      <c r="B152" s="8" t="s">
        <v>33</v>
      </c>
      <c r="C152" s="8" t="s">
        <v>418</v>
      </c>
      <c r="D152" s="8" t="s">
        <v>419</v>
      </c>
      <c r="E152" s="8" t="s">
        <v>420</v>
      </c>
      <c r="F152" s="8" t="s">
        <v>23</v>
      </c>
      <c r="G152" s="8" t="s">
        <v>37</v>
      </c>
    </row>
    <row r="153" spans="1:7" ht="11.25">
      <c r="A153" s="2">
        <f>DATE(2025,2,19)+TIME(20,42,22)</f>
        <v>45707.86275462963</v>
      </c>
      <c r="B153" s="7" t="s">
        <v>33</v>
      </c>
      <c r="C153" s="7" t="s">
        <v>421</v>
      </c>
      <c r="D153" s="7" t="s">
        <v>422</v>
      </c>
      <c r="E153" s="7" t="s">
        <v>423</v>
      </c>
      <c r="F153" s="7" t="s">
        <v>24</v>
      </c>
      <c r="G153" s="7" t="s">
        <v>37</v>
      </c>
    </row>
    <row r="154" spans="1:7" ht="11.25">
      <c r="A154" s="4">
        <f>DATE(2025,4,14)+TIME(21,39,53)</f>
        <v>45761.90269675926</v>
      </c>
      <c r="B154" s="8" t="s">
        <v>33</v>
      </c>
      <c r="C154" s="8" t="s">
        <v>424</v>
      </c>
      <c r="D154" s="8" t="s">
        <v>425</v>
      </c>
      <c r="E154" s="8" t="s">
        <v>51</v>
      </c>
      <c r="F154" s="8" t="s">
        <v>26</v>
      </c>
      <c r="G154" s="8" t="s">
        <v>37</v>
      </c>
    </row>
    <row r="155" spans="1:7" ht="11.25">
      <c r="A155" s="2">
        <f>DATE(2025,4,11)+TIME(11,57,47)</f>
        <v>45758.498460648145</v>
      </c>
      <c r="B155" s="7" t="s">
        <v>33</v>
      </c>
      <c r="C155" s="7" t="s">
        <v>426</v>
      </c>
      <c r="D155" s="7" t="s">
        <v>427</v>
      </c>
      <c r="E155" s="7" t="s">
        <v>428</v>
      </c>
      <c r="F155" s="7" t="s">
        <v>28</v>
      </c>
      <c r="G155" s="7" t="s">
        <v>37</v>
      </c>
    </row>
    <row r="156" spans="1:7" ht="11.25">
      <c r="A156" s="4">
        <f>DATE(2025,3,11)+TIME(11,34,42)</f>
        <v>45727.48243055555</v>
      </c>
      <c r="B156" s="8" t="s">
        <v>33</v>
      </c>
      <c r="C156" s="8" t="s">
        <v>429</v>
      </c>
      <c r="D156" s="8" t="s">
        <v>430</v>
      </c>
      <c r="E156" s="8" t="s">
        <v>431</v>
      </c>
      <c r="F156" s="8" t="s">
        <v>30</v>
      </c>
      <c r="G156" s="8" t="s">
        <v>37</v>
      </c>
    </row>
    <row r="157" spans="1:7" ht="11.25">
      <c r="A157" s="2">
        <f>DATE(2025,3,2)+TIME(6,7,45)</f>
        <v>45718.255381944444</v>
      </c>
      <c r="B157" s="7" t="s">
        <v>33</v>
      </c>
      <c r="C157" s="7" t="s">
        <v>432</v>
      </c>
      <c r="D157" s="7" t="s">
        <v>433</v>
      </c>
      <c r="E157" s="7" t="s">
        <v>434</v>
      </c>
      <c r="F157" s="7" t="s">
        <v>28</v>
      </c>
      <c r="G157" s="7" t="s">
        <v>37</v>
      </c>
    </row>
    <row r="158" spans="1:7" ht="11.25">
      <c r="A158" s="4">
        <f>DATE(2025,4,12)+TIME(16,44,56)</f>
        <v>45759.69787037037</v>
      </c>
      <c r="B158" s="8" t="s">
        <v>33</v>
      </c>
      <c r="C158" s="8" t="s">
        <v>435</v>
      </c>
      <c r="D158" s="8" t="s">
        <v>436</v>
      </c>
      <c r="E158" s="8" t="s">
        <v>437</v>
      </c>
      <c r="F158" s="8" t="s">
        <v>26</v>
      </c>
      <c r="G158" s="8" t="s">
        <v>37</v>
      </c>
    </row>
    <row r="159" spans="1:7" ht="11.25">
      <c r="A159" s="2">
        <f>DATE(2025,4,10)+TIME(8,19,51)</f>
        <v>45757.34711805556</v>
      </c>
      <c r="B159" s="7" t="s">
        <v>33</v>
      </c>
      <c r="C159" s="7" t="s">
        <v>438</v>
      </c>
      <c r="D159" s="7" t="s">
        <v>439</v>
      </c>
      <c r="E159" s="7" t="s">
        <v>188</v>
      </c>
      <c r="F159" s="7" t="s">
        <v>25</v>
      </c>
      <c r="G159" s="7" t="s">
        <v>37</v>
      </c>
    </row>
    <row r="160" spans="1:7" ht="11.25">
      <c r="A160" s="4">
        <f>DATE(2025,3,14)+TIME(15,46,2)</f>
        <v>45730.65696759259</v>
      </c>
      <c r="B160" s="8" t="s">
        <v>33</v>
      </c>
      <c r="C160" s="8" t="s">
        <v>440</v>
      </c>
      <c r="D160" s="8" t="s">
        <v>441</v>
      </c>
      <c r="E160" s="8" t="s">
        <v>188</v>
      </c>
      <c r="F160" s="8" t="s">
        <v>28</v>
      </c>
      <c r="G160" s="8" t="s">
        <v>37</v>
      </c>
    </row>
    <row r="161" spans="1:7" ht="11.25">
      <c r="A161" s="2">
        <f>DATE(2025,3,19)+TIME(13,48,30)</f>
        <v>45735.57534722222</v>
      </c>
      <c r="B161" s="7" t="s">
        <v>33</v>
      </c>
      <c r="C161" s="7" t="s">
        <v>442</v>
      </c>
      <c r="D161" s="7" t="s">
        <v>443</v>
      </c>
      <c r="E161" s="7" t="s">
        <v>233</v>
      </c>
      <c r="F161" s="7" t="s">
        <v>24</v>
      </c>
      <c r="G161" s="7" t="s">
        <v>37</v>
      </c>
    </row>
    <row r="162" spans="1:7" ht="11.25">
      <c r="A162" s="4">
        <f>DATE(2025,3,4)+TIME(16,14,11)</f>
        <v>45720.676516203705</v>
      </c>
      <c r="B162" s="8" t="s">
        <v>33</v>
      </c>
      <c r="C162" s="8" t="s">
        <v>444</v>
      </c>
      <c r="D162" s="8" t="s">
        <v>445</v>
      </c>
      <c r="E162" s="8" t="s">
        <v>446</v>
      </c>
      <c r="F162" s="8" t="s">
        <v>25</v>
      </c>
      <c r="G162" s="8" t="s">
        <v>37</v>
      </c>
    </row>
    <row r="163" spans="1:7" ht="11.25">
      <c r="A163" s="2">
        <f>DATE(2025,4,3)+TIME(6,53,2)</f>
        <v>45750.286828703705</v>
      </c>
      <c r="B163" s="7" t="s">
        <v>33</v>
      </c>
      <c r="C163" s="7" t="s">
        <v>438</v>
      </c>
      <c r="D163" s="7" t="s">
        <v>447</v>
      </c>
      <c r="E163" s="7" t="s">
        <v>332</v>
      </c>
      <c r="F163" s="7" t="s">
        <v>23</v>
      </c>
      <c r="G163" s="7" t="s">
        <v>37</v>
      </c>
    </row>
    <row r="164" spans="1:7" ht="11.25">
      <c r="A164" s="4">
        <f>DATE(2025,3,15)+TIME(3,15,10)</f>
        <v>45731.13553240741</v>
      </c>
      <c r="B164" s="8" t="s">
        <v>33</v>
      </c>
      <c r="C164" s="8" t="s">
        <v>448</v>
      </c>
      <c r="D164" s="8" t="s">
        <v>449</v>
      </c>
      <c r="E164" s="8" t="s">
        <v>332</v>
      </c>
      <c r="F164" s="8" t="s">
        <v>28</v>
      </c>
      <c r="G164" s="8" t="s">
        <v>37</v>
      </c>
    </row>
    <row r="165" spans="1:7" ht="11.25">
      <c r="A165" s="2">
        <f>DATE(2025,2,13)+TIME(14,12,41)</f>
        <v>45701.592141203706</v>
      </c>
      <c r="B165" s="7" t="s">
        <v>33</v>
      </c>
      <c r="C165" s="7" t="s">
        <v>450</v>
      </c>
      <c r="D165" s="7" t="s">
        <v>451</v>
      </c>
      <c r="E165" s="7" t="s">
        <v>188</v>
      </c>
      <c r="F165" s="7" t="s">
        <v>25</v>
      </c>
      <c r="G165" s="7" t="s">
        <v>37</v>
      </c>
    </row>
    <row r="166" spans="1:7" ht="11.25">
      <c r="A166" s="4">
        <f>DATE(2025,2,23)+TIME(15,51,16)</f>
        <v>45711.66060185185</v>
      </c>
      <c r="B166" s="8" t="s">
        <v>33</v>
      </c>
      <c r="C166" s="8" t="s">
        <v>452</v>
      </c>
      <c r="D166" s="8" t="s">
        <v>453</v>
      </c>
      <c r="E166" s="8" t="s">
        <v>188</v>
      </c>
      <c r="F166" s="8" t="s">
        <v>23</v>
      </c>
      <c r="G166" s="8" t="s">
        <v>37</v>
      </c>
    </row>
    <row r="167" spans="1:7" ht="11.25">
      <c r="A167" s="2">
        <f>DATE(2025,3,5)+TIME(13,48,0)</f>
        <v>45721.575</v>
      </c>
      <c r="B167" s="7" t="s">
        <v>33</v>
      </c>
      <c r="C167" s="7" t="s">
        <v>454</v>
      </c>
      <c r="D167" s="7" t="s">
        <v>455</v>
      </c>
      <c r="E167" s="7" t="s">
        <v>124</v>
      </c>
      <c r="F167" s="7" t="s">
        <v>27</v>
      </c>
      <c r="G167" s="7" t="s">
        <v>37</v>
      </c>
    </row>
    <row r="168" spans="1:7" ht="11.25">
      <c r="A168" s="4">
        <f>DATE(2025,4,2)+TIME(14,24,8)</f>
        <v>45749.60009259259</v>
      </c>
      <c r="B168" s="8" t="s">
        <v>33</v>
      </c>
      <c r="C168" s="8" t="s">
        <v>95</v>
      </c>
      <c r="D168" s="8" t="s">
        <v>456</v>
      </c>
      <c r="E168" s="8" t="s">
        <v>350</v>
      </c>
      <c r="F168" s="8" t="s">
        <v>28</v>
      </c>
      <c r="G168" s="8" t="s">
        <v>37</v>
      </c>
    </row>
    <row r="169" spans="1:7" ht="11.25">
      <c r="A169" s="2">
        <f>DATE(2025,3,4)+TIME(13,50,10)</f>
        <v>45720.57650462963</v>
      </c>
      <c r="B169" s="7" t="s">
        <v>33</v>
      </c>
      <c r="C169" s="7" t="s">
        <v>95</v>
      </c>
      <c r="D169" s="7" t="s">
        <v>395</v>
      </c>
      <c r="E169" s="7" t="s">
        <v>457</v>
      </c>
      <c r="F169" s="7" t="s">
        <v>23</v>
      </c>
      <c r="G169" s="7" t="s">
        <v>37</v>
      </c>
    </row>
    <row r="170" spans="1:7" ht="11.25">
      <c r="A170" s="4">
        <f>DATE(2025,4,12)+TIME(14,9,14)</f>
        <v>45759.58974537037</v>
      </c>
      <c r="B170" s="8" t="s">
        <v>33</v>
      </c>
      <c r="C170" s="8" t="s">
        <v>458</v>
      </c>
      <c r="D170" s="8" t="s">
        <v>459</v>
      </c>
      <c r="E170" s="8" t="s">
        <v>51</v>
      </c>
      <c r="F170" s="8" t="s">
        <v>26</v>
      </c>
      <c r="G170" s="8" t="s">
        <v>37</v>
      </c>
    </row>
    <row r="171" spans="1:7" ht="11.25">
      <c r="A171" s="2">
        <f>DATE(2024,11,22)+TIME(15,11,49)</f>
        <v>45618.633206018516</v>
      </c>
      <c r="B171" s="7" t="s">
        <v>33</v>
      </c>
      <c r="C171" s="7" t="s">
        <v>460</v>
      </c>
      <c r="D171" s="7" t="s">
        <v>461</v>
      </c>
      <c r="E171" s="7" t="s">
        <v>260</v>
      </c>
      <c r="F171" s="7" t="s">
        <v>27</v>
      </c>
      <c r="G171" s="7" t="s">
        <v>37</v>
      </c>
    </row>
    <row r="172" spans="1:7" ht="11.25">
      <c r="A172" s="4">
        <f>DATE(2025,2,27)+TIME(15,37,28)</f>
        <v>45715.65101851852</v>
      </c>
      <c r="B172" s="8" t="s">
        <v>33</v>
      </c>
      <c r="C172" s="8" t="s">
        <v>462</v>
      </c>
      <c r="D172" s="8" t="s">
        <v>463</v>
      </c>
      <c r="E172" s="8" t="s">
        <v>464</v>
      </c>
      <c r="F172" s="8" t="s">
        <v>24</v>
      </c>
      <c r="G172" s="8" t="s">
        <v>37</v>
      </c>
    </row>
    <row r="173" spans="1:7" ht="11.25">
      <c r="A173" s="2">
        <f>DATE(2025,3,5)+TIME(8,25,43)</f>
        <v>45721.35119212963</v>
      </c>
      <c r="B173" s="7" t="s">
        <v>33</v>
      </c>
      <c r="C173" s="7" t="s">
        <v>465</v>
      </c>
      <c r="D173" s="7" t="s">
        <v>466</v>
      </c>
      <c r="E173" s="7" t="s">
        <v>467</v>
      </c>
      <c r="F173" s="7" t="s">
        <v>27</v>
      </c>
      <c r="G173" s="7" t="s">
        <v>37</v>
      </c>
    </row>
    <row r="174" spans="1:7" ht="11.25">
      <c r="A174" s="4">
        <f>DATE(2024,12,10)+TIME(9,39,38)</f>
        <v>45636.40252314815</v>
      </c>
      <c r="B174" s="8" t="s">
        <v>33</v>
      </c>
      <c r="C174" s="8" t="s">
        <v>468</v>
      </c>
      <c r="D174" s="8" t="s">
        <v>469</v>
      </c>
      <c r="E174" s="8" t="s">
        <v>71</v>
      </c>
      <c r="F174" s="8" t="s">
        <v>27</v>
      </c>
      <c r="G174" s="8" t="s">
        <v>37</v>
      </c>
    </row>
    <row r="175" spans="1:7" ht="11.25">
      <c r="A175" s="2">
        <f>DATE(2025,3,4)+TIME(14,59,23)</f>
        <v>45720.62457175926</v>
      </c>
      <c r="B175" s="7" t="s">
        <v>33</v>
      </c>
      <c r="C175" s="7" t="s">
        <v>281</v>
      </c>
      <c r="D175" s="7" t="s">
        <v>470</v>
      </c>
      <c r="E175" s="7" t="s">
        <v>471</v>
      </c>
      <c r="F175" s="7" t="s">
        <v>23</v>
      </c>
      <c r="G175" s="7" t="s">
        <v>37</v>
      </c>
    </row>
    <row r="176" spans="1:7" ht="11.25">
      <c r="A176" s="4">
        <f>DATE(2025,1,24)+TIME(12,27,56)</f>
        <v>45681.51939814815</v>
      </c>
      <c r="B176" s="8" t="s">
        <v>33</v>
      </c>
      <c r="C176" s="8" t="s">
        <v>472</v>
      </c>
      <c r="D176" s="8" t="s">
        <v>473</v>
      </c>
      <c r="E176" s="8" t="s">
        <v>46</v>
      </c>
      <c r="F176" s="8" t="s">
        <v>25</v>
      </c>
      <c r="G176" s="8" t="s">
        <v>37</v>
      </c>
    </row>
    <row r="177" spans="1:7" ht="11.25">
      <c r="A177" s="2">
        <f>DATE(2025,4,11)+TIME(14,53,36)</f>
        <v>45758.62055555556</v>
      </c>
      <c r="B177" s="7" t="s">
        <v>33</v>
      </c>
      <c r="C177" s="7" t="s">
        <v>474</v>
      </c>
      <c r="D177" s="7" t="s">
        <v>475</v>
      </c>
      <c r="E177" s="7" t="s">
        <v>476</v>
      </c>
      <c r="F177" s="7" t="s">
        <v>25</v>
      </c>
      <c r="G177" s="7" t="s">
        <v>37</v>
      </c>
    </row>
    <row r="178" spans="1:7" ht="11.25">
      <c r="A178" s="4">
        <f>DATE(2025,3,3)+TIME(17,36,15)</f>
        <v>45719.733506944445</v>
      </c>
      <c r="B178" s="8" t="s">
        <v>33</v>
      </c>
      <c r="C178" s="8" t="s">
        <v>477</v>
      </c>
      <c r="D178" s="8" t="s">
        <v>478</v>
      </c>
      <c r="E178" s="8" t="s">
        <v>332</v>
      </c>
      <c r="F178" s="8" t="s">
        <v>25</v>
      </c>
      <c r="G178" s="8" t="s">
        <v>37</v>
      </c>
    </row>
    <row r="179" spans="1:7" ht="11.25">
      <c r="A179" s="2">
        <f>DATE(2025,2,19)+TIME(18,13,21)</f>
        <v>45707.75927083333</v>
      </c>
      <c r="B179" s="7" t="s">
        <v>33</v>
      </c>
      <c r="C179" s="7" t="s">
        <v>479</v>
      </c>
      <c r="D179" s="7" t="s">
        <v>480</v>
      </c>
      <c r="E179" s="7" t="s">
        <v>46</v>
      </c>
      <c r="F179" s="7" t="s">
        <v>23</v>
      </c>
      <c r="G179" s="7" t="s">
        <v>37</v>
      </c>
    </row>
    <row r="180" spans="1:7" ht="11.25">
      <c r="A180" s="4">
        <f>DATE(2025,3,29)+TIME(22,46,50)</f>
        <v>45745.94918981481</v>
      </c>
      <c r="B180" s="8" t="s">
        <v>33</v>
      </c>
      <c r="C180" s="8" t="s">
        <v>481</v>
      </c>
      <c r="D180" s="8" t="s">
        <v>482</v>
      </c>
      <c r="E180" s="8" t="s">
        <v>46</v>
      </c>
      <c r="F180" s="8" t="s">
        <v>25</v>
      </c>
      <c r="G180" s="8" t="s">
        <v>37</v>
      </c>
    </row>
    <row r="181" spans="1:7" ht="11.25">
      <c r="A181" s="2">
        <f>DATE(2025,4,11)+TIME(17,36,11)</f>
        <v>45758.733460648145</v>
      </c>
      <c r="B181" s="7" t="s">
        <v>33</v>
      </c>
      <c r="C181" s="7" t="s">
        <v>483</v>
      </c>
      <c r="D181" s="7" t="s">
        <v>484</v>
      </c>
      <c r="E181" s="7" t="s">
        <v>332</v>
      </c>
      <c r="F181" s="7" t="s">
        <v>25</v>
      </c>
      <c r="G181" s="7" t="s">
        <v>37</v>
      </c>
    </row>
    <row r="182" spans="1:7" ht="11.25">
      <c r="A182" s="4">
        <f>DATE(2025,3,26)+TIME(19,32,13)</f>
        <v>45742.814039351855</v>
      </c>
      <c r="B182" s="8" t="s">
        <v>33</v>
      </c>
      <c r="C182" s="8" t="s">
        <v>485</v>
      </c>
      <c r="D182" s="8" t="s">
        <v>486</v>
      </c>
      <c r="E182" s="8" t="s">
        <v>46</v>
      </c>
      <c r="F182" s="8" t="s">
        <v>23</v>
      </c>
      <c r="G182" s="8" t="s">
        <v>37</v>
      </c>
    </row>
    <row r="183" spans="1:7" ht="11.25">
      <c r="A183" s="2">
        <f>DATE(2025,3,6)+TIME(19,41,48)</f>
        <v>45722.82069444445</v>
      </c>
      <c r="B183" s="7" t="s">
        <v>33</v>
      </c>
      <c r="C183" s="7" t="s">
        <v>487</v>
      </c>
      <c r="D183" s="7" t="s">
        <v>488</v>
      </c>
      <c r="E183" s="7" t="s">
        <v>46</v>
      </c>
      <c r="F183" s="7" t="s">
        <v>23</v>
      </c>
      <c r="G183" s="7" t="s">
        <v>37</v>
      </c>
    </row>
    <row r="184" spans="1:7" ht="11.25">
      <c r="A184" s="4">
        <f>DATE(2025,4,1)+TIME(15,59,2)</f>
        <v>45748.66599537037</v>
      </c>
      <c r="B184" s="8" t="s">
        <v>33</v>
      </c>
      <c r="C184" s="8" t="s">
        <v>489</v>
      </c>
      <c r="D184" s="8" t="s">
        <v>490</v>
      </c>
      <c r="E184" s="8" t="s">
        <v>414</v>
      </c>
      <c r="F184" s="8" t="s">
        <v>27</v>
      </c>
      <c r="G184" s="8" t="s">
        <v>37</v>
      </c>
    </row>
    <row r="185" spans="1:7" ht="11.25">
      <c r="A185" s="2">
        <f>DATE(2025,4,13)+TIME(16,1,18)</f>
        <v>45760.66756944444</v>
      </c>
      <c r="B185" s="7" t="s">
        <v>33</v>
      </c>
      <c r="C185" s="7" t="s">
        <v>491</v>
      </c>
      <c r="D185" s="7" t="s">
        <v>492</v>
      </c>
      <c r="E185" s="7" t="s">
        <v>371</v>
      </c>
      <c r="F185" s="7" t="s">
        <v>26</v>
      </c>
      <c r="G185" s="7" t="s">
        <v>37</v>
      </c>
    </row>
    <row r="186" spans="1:7" ht="11.25">
      <c r="A186" s="4">
        <f>DATE(2024,12,13)+TIME(10,27,31)</f>
        <v>45639.43577546296</v>
      </c>
      <c r="B186" s="8" t="s">
        <v>33</v>
      </c>
      <c r="C186" s="8" t="s">
        <v>493</v>
      </c>
      <c r="D186" s="8" t="s">
        <v>494</v>
      </c>
      <c r="E186" s="8" t="s">
        <v>495</v>
      </c>
      <c r="F186" s="8" t="s">
        <v>23</v>
      </c>
      <c r="G186" s="8" t="s">
        <v>37</v>
      </c>
    </row>
    <row r="187" spans="1:7" ht="11.25">
      <c r="A187" s="2">
        <f>DATE(2025,3,3)+TIME(20,0,4)</f>
        <v>45719.83337962963</v>
      </c>
      <c r="B187" s="7" t="s">
        <v>33</v>
      </c>
      <c r="C187" s="7" t="s">
        <v>496</v>
      </c>
      <c r="D187" s="7" t="s">
        <v>497</v>
      </c>
      <c r="E187" s="7" t="s">
        <v>498</v>
      </c>
      <c r="F187" s="7" t="s">
        <v>29</v>
      </c>
      <c r="G187" s="7" t="s">
        <v>37</v>
      </c>
    </row>
    <row r="188" spans="1:7" ht="11.25">
      <c r="A188" s="4">
        <f>DATE(2025,2,6)+TIME(14,10,29)</f>
        <v>45694.59061342593</v>
      </c>
      <c r="B188" s="8" t="s">
        <v>33</v>
      </c>
      <c r="C188" s="8" t="s">
        <v>499</v>
      </c>
      <c r="D188" s="8" t="s">
        <v>500</v>
      </c>
      <c r="E188" s="8" t="s">
        <v>501</v>
      </c>
      <c r="F188" s="8" t="s">
        <v>26</v>
      </c>
      <c r="G188" s="8" t="s">
        <v>37</v>
      </c>
    </row>
    <row r="189" spans="1:7" ht="11.25">
      <c r="A189" s="2">
        <f>DATE(2025,4,4)+TIME(12,40,23)</f>
        <v>45751.52804398148</v>
      </c>
      <c r="B189" s="7" t="s">
        <v>33</v>
      </c>
      <c r="C189" s="7" t="s">
        <v>502</v>
      </c>
      <c r="D189" s="7" t="s">
        <v>503</v>
      </c>
      <c r="E189" s="7" t="s">
        <v>147</v>
      </c>
      <c r="F189" s="7" t="s">
        <v>30</v>
      </c>
      <c r="G189" s="7" t="s">
        <v>37</v>
      </c>
    </row>
    <row r="190" spans="1:7" ht="11.25">
      <c r="A190" s="4">
        <f>DATE(2025,3,21)+TIME(12,33,21)</f>
        <v>45737.52315972222</v>
      </c>
      <c r="B190" s="8" t="s">
        <v>33</v>
      </c>
      <c r="C190" s="8" t="s">
        <v>504</v>
      </c>
      <c r="D190" s="8" t="s">
        <v>505</v>
      </c>
      <c r="E190" s="8" t="s">
        <v>506</v>
      </c>
      <c r="F190" s="8" t="s">
        <v>24</v>
      </c>
      <c r="G190" s="8" t="s">
        <v>37</v>
      </c>
    </row>
    <row r="191" spans="1:7" ht="11.25">
      <c r="A191" s="2">
        <f>DATE(2025,3,7)+TIME(13,18,22)</f>
        <v>45723.5544212963</v>
      </c>
      <c r="B191" s="7" t="s">
        <v>33</v>
      </c>
      <c r="C191" s="7" t="s">
        <v>507</v>
      </c>
      <c r="D191" s="7" t="s">
        <v>508</v>
      </c>
      <c r="E191" s="7" t="s">
        <v>509</v>
      </c>
      <c r="F191" s="7" t="s">
        <v>23</v>
      </c>
      <c r="G191" s="7" t="s">
        <v>37</v>
      </c>
    </row>
    <row r="192" spans="1:7" ht="11.25">
      <c r="A192" s="4">
        <f>DATE(2025,4,13)+TIME(16,59,13)</f>
        <v>45760.70778935185</v>
      </c>
      <c r="B192" s="8" t="s">
        <v>33</v>
      </c>
      <c r="C192" s="8" t="s">
        <v>510</v>
      </c>
      <c r="D192" s="8" t="s">
        <v>511</v>
      </c>
      <c r="E192" s="8" t="s">
        <v>377</v>
      </c>
      <c r="F192" s="8" t="s">
        <v>26</v>
      </c>
      <c r="G192" s="8" t="s">
        <v>37</v>
      </c>
    </row>
    <row r="193" spans="1:7" ht="11.25">
      <c r="A193" s="2">
        <f>DATE(2025,4,7)+TIME(15,52,50)</f>
        <v>45754.66168981481</v>
      </c>
      <c r="B193" s="7" t="s">
        <v>33</v>
      </c>
      <c r="C193" s="7" t="s">
        <v>86</v>
      </c>
      <c r="D193" s="7" t="s">
        <v>512</v>
      </c>
      <c r="E193" s="7" t="s">
        <v>513</v>
      </c>
      <c r="F193" s="7" t="s">
        <v>30</v>
      </c>
      <c r="G193" s="7" t="s">
        <v>37</v>
      </c>
    </row>
    <row r="194" spans="1:7" ht="11.25">
      <c r="A194" s="4">
        <f>DATE(2025,2,10)+TIME(15,20,25)</f>
        <v>45698.63917824074</v>
      </c>
      <c r="B194" s="8" t="s">
        <v>33</v>
      </c>
      <c r="C194" s="8" t="s">
        <v>514</v>
      </c>
      <c r="D194" s="8" t="s">
        <v>515</v>
      </c>
      <c r="E194" s="8" t="s">
        <v>185</v>
      </c>
      <c r="F194" s="8" t="s">
        <v>23</v>
      </c>
      <c r="G194" s="8" t="s">
        <v>37</v>
      </c>
    </row>
    <row r="195" spans="1:7" ht="11.25">
      <c r="A195" s="2">
        <f>DATE(2024,11,19)+TIME(16,11,43)</f>
        <v>45615.67480324074</v>
      </c>
      <c r="B195" s="7" t="s">
        <v>33</v>
      </c>
      <c r="C195" s="7" t="s">
        <v>516</v>
      </c>
      <c r="D195" s="7" t="s">
        <v>517</v>
      </c>
      <c r="E195" s="7" t="s">
        <v>124</v>
      </c>
      <c r="F195" s="7" t="s">
        <v>27</v>
      </c>
      <c r="G195" s="7" t="s">
        <v>37</v>
      </c>
    </row>
    <row r="196" spans="1:7" ht="11.25">
      <c r="A196" s="4">
        <f>DATE(2025,4,1)+TIME(18,10,10)</f>
        <v>45748.757060185184</v>
      </c>
      <c r="B196" s="8" t="s">
        <v>33</v>
      </c>
      <c r="C196" s="8" t="s">
        <v>518</v>
      </c>
      <c r="D196" s="8" t="s">
        <v>519</v>
      </c>
      <c r="E196" s="8" t="s">
        <v>520</v>
      </c>
      <c r="F196" s="8" t="s">
        <v>27</v>
      </c>
      <c r="G196" s="8" t="s">
        <v>37</v>
      </c>
    </row>
    <row r="197" spans="1:7" ht="11.25">
      <c r="A197" s="2">
        <f>DATE(2025,2,11)+TIME(12,59,12)</f>
        <v>45699.54111111111</v>
      </c>
      <c r="B197" s="7" t="s">
        <v>33</v>
      </c>
      <c r="C197" s="7" t="s">
        <v>521</v>
      </c>
      <c r="D197" s="7" t="s">
        <v>522</v>
      </c>
      <c r="E197" s="7" t="s">
        <v>523</v>
      </c>
      <c r="F197" s="7" t="s">
        <v>24</v>
      </c>
      <c r="G197" s="7" t="s">
        <v>37</v>
      </c>
    </row>
    <row r="198" spans="1:7" ht="11.25">
      <c r="A198" s="4">
        <f>DATE(2025,3,24)+TIME(15,6,43)</f>
        <v>45740.62966435185</v>
      </c>
      <c r="B198" s="8" t="s">
        <v>33</v>
      </c>
      <c r="C198" s="8" t="s">
        <v>524</v>
      </c>
      <c r="D198" s="8" t="s">
        <v>525</v>
      </c>
      <c r="E198" s="8" t="s">
        <v>526</v>
      </c>
      <c r="F198" s="8" t="s">
        <v>23</v>
      </c>
      <c r="G198" s="8" t="s">
        <v>37</v>
      </c>
    </row>
    <row r="199" spans="1:7" ht="11.25">
      <c r="A199" s="2">
        <f>DATE(2025,3,31)+TIME(13,44,10)</f>
        <v>45747.57233796296</v>
      </c>
      <c r="B199" s="7" t="s">
        <v>33</v>
      </c>
      <c r="C199" s="7" t="s">
        <v>527</v>
      </c>
      <c r="D199" s="7" t="s">
        <v>528</v>
      </c>
      <c r="E199" s="7" t="s">
        <v>46</v>
      </c>
      <c r="F199" s="7" t="s">
        <v>23</v>
      </c>
      <c r="G199" s="7" t="s">
        <v>37</v>
      </c>
    </row>
    <row r="200" spans="1:7" ht="11.25">
      <c r="A200" s="4">
        <f>DATE(2025,1,30)+TIME(8,53,16)</f>
        <v>45687.37032407407</v>
      </c>
      <c r="B200" s="8" t="s">
        <v>33</v>
      </c>
      <c r="C200" s="8" t="s">
        <v>404</v>
      </c>
      <c r="D200" s="8" t="s">
        <v>529</v>
      </c>
      <c r="E200" s="8" t="s">
        <v>530</v>
      </c>
      <c r="F200" s="8" t="s">
        <v>24</v>
      </c>
      <c r="G200" s="8" t="s">
        <v>37</v>
      </c>
    </row>
    <row r="201" spans="1:7" ht="11.25">
      <c r="A201" s="2">
        <f>DATE(2025,2,2)+TIME(14,43,50)</f>
        <v>45690.61377314815</v>
      </c>
      <c r="B201" s="7" t="s">
        <v>33</v>
      </c>
      <c r="C201" s="7" t="s">
        <v>531</v>
      </c>
      <c r="D201" s="7" t="s">
        <v>532</v>
      </c>
      <c r="E201" s="7" t="s">
        <v>533</v>
      </c>
      <c r="F201" s="7" t="s">
        <v>24</v>
      </c>
      <c r="G201" s="7" t="s">
        <v>37</v>
      </c>
    </row>
    <row r="202" spans="1:7" ht="11.25">
      <c r="A202" s="4">
        <f>DATE(2025,3,7)+TIME(8,39,50)</f>
        <v>45723.36099537037</v>
      </c>
      <c r="B202" s="8" t="s">
        <v>33</v>
      </c>
      <c r="C202" s="8" t="s">
        <v>534</v>
      </c>
      <c r="D202" s="8" t="s">
        <v>535</v>
      </c>
      <c r="E202" s="8" t="s">
        <v>46</v>
      </c>
      <c r="F202" s="8" t="s">
        <v>25</v>
      </c>
      <c r="G202" s="8" t="s">
        <v>37</v>
      </c>
    </row>
    <row r="203" spans="1:7" ht="11.25">
      <c r="A203" s="2">
        <f>DATE(2025,4,1)+TIME(14,30,47)</f>
        <v>45748.60471064815</v>
      </c>
      <c r="B203" s="7" t="s">
        <v>33</v>
      </c>
      <c r="C203" s="7" t="s">
        <v>536</v>
      </c>
      <c r="D203" s="7" t="s">
        <v>537</v>
      </c>
      <c r="E203" s="7" t="s">
        <v>538</v>
      </c>
      <c r="F203" s="7" t="s">
        <v>29</v>
      </c>
      <c r="G203" s="7" t="s">
        <v>37</v>
      </c>
    </row>
    <row r="204" spans="1:7" ht="11.25">
      <c r="A204" s="4">
        <f>DATE(2025,4,12)+TIME(11,21,52)</f>
        <v>45759.47351851852</v>
      </c>
      <c r="B204" s="8" t="s">
        <v>33</v>
      </c>
      <c r="C204" s="8" t="s">
        <v>539</v>
      </c>
      <c r="D204" s="8" t="s">
        <v>540</v>
      </c>
      <c r="E204" s="8" t="s">
        <v>541</v>
      </c>
      <c r="F204" s="8" t="s">
        <v>26</v>
      </c>
      <c r="G204" s="8" t="s">
        <v>37</v>
      </c>
    </row>
    <row r="205" spans="1:7" ht="11.25">
      <c r="A205" s="2">
        <f>DATE(2025,3,13)+TIME(16,7,19)</f>
        <v>45729.671747685185</v>
      </c>
      <c r="B205" s="7" t="s">
        <v>33</v>
      </c>
      <c r="C205" s="7" t="s">
        <v>542</v>
      </c>
      <c r="D205" s="7" t="s">
        <v>543</v>
      </c>
      <c r="E205" s="7" t="s">
        <v>193</v>
      </c>
      <c r="F205" s="7" t="s">
        <v>23</v>
      </c>
      <c r="G205" s="7" t="s">
        <v>37</v>
      </c>
    </row>
    <row r="206" spans="1:7" ht="11.25">
      <c r="A206" s="4">
        <f>DATE(2025,2,24)+TIME(10,42,31)</f>
        <v>45712.44619212963</v>
      </c>
      <c r="B206" s="8" t="s">
        <v>33</v>
      </c>
      <c r="C206" s="8" t="s">
        <v>544</v>
      </c>
      <c r="D206" s="8" t="s">
        <v>545</v>
      </c>
      <c r="E206" s="8" t="s">
        <v>546</v>
      </c>
      <c r="F206" s="8" t="s">
        <v>23</v>
      </c>
      <c r="G206" s="8" t="s">
        <v>37</v>
      </c>
    </row>
    <row r="207" spans="1:7" ht="11.25">
      <c r="A207" s="2">
        <f>DATE(2025,3,6)+TIME(6,55,29)</f>
        <v>45722.28853009259</v>
      </c>
      <c r="B207" s="7" t="s">
        <v>33</v>
      </c>
      <c r="C207" s="7" t="s">
        <v>547</v>
      </c>
      <c r="D207" s="7" t="s">
        <v>548</v>
      </c>
      <c r="E207" s="7" t="s">
        <v>549</v>
      </c>
      <c r="F207" s="7" t="s">
        <v>23</v>
      </c>
      <c r="G207" s="7" t="s">
        <v>37</v>
      </c>
    </row>
    <row r="208" spans="1:7" ht="11.25">
      <c r="A208" s="4">
        <f>DATE(2025,3,28)+TIME(8,39,41)</f>
        <v>45744.3608912037</v>
      </c>
      <c r="B208" s="8" t="s">
        <v>33</v>
      </c>
      <c r="C208" s="8" t="s">
        <v>550</v>
      </c>
      <c r="D208" s="8" t="s">
        <v>551</v>
      </c>
      <c r="E208" s="8" t="s">
        <v>124</v>
      </c>
      <c r="F208" s="8" t="s">
        <v>23</v>
      </c>
      <c r="G208" s="8" t="s">
        <v>37</v>
      </c>
    </row>
    <row r="209" spans="1:7" ht="11.25">
      <c r="A209" s="2">
        <f>DATE(2025,2,11)+TIME(14,26,23)</f>
        <v>45699.60165509259</v>
      </c>
      <c r="B209" s="7" t="s">
        <v>33</v>
      </c>
      <c r="C209" s="7" t="s">
        <v>404</v>
      </c>
      <c r="D209" s="7" t="s">
        <v>552</v>
      </c>
      <c r="E209" s="7" t="s">
        <v>553</v>
      </c>
      <c r="F209" s="7" t="s">
        <v>29</v>
      </c>
      <c r="G209" s="7" t="s">
        <v>37</v>
      </c>
    </row>
    <row r="210" spans="1:7" ht="11.25">
      <c r="A210" s="4">
        <f>DATE(2025,1,22)+TIME(13,39,26)</f>
        <v>45679.56905092593</v>
      </c>
      <c r="B210" s="8" t="s">
        <v>33</v>
      </c>
      <c r="C210" s="8" t="s">
        <v>554</v>
      </c>
      <c r="D210" s="8" t="s">
        <v>555</v>
      </c>
      <c r="E210" s="8" t="s">
        <v>46</v>
      </c>
      <c r="F210" s="8" t="s">
        <v>28</v>
      </c>
      <c r="G210" s="8" t="s">
        <v>37</v>
      </c>
    </row>
    <row r="211" spans="1:7" ht="11.25">
      <c r="A211" s="2">
        <f>DATE(2025,4,1)+TIME(8,9,35)</f>
        <v>45748.33998842593</v>
      </c>
      <c r="B211" s="7" t="s">
        <v>33</v>
      </c>
      <c r="C211" s="7" t="s">
        <v>556</v>
      </c>
      <c r="D211" s="7" t="s">
        <v>557</v>
      </c>
      <c r="E211" s="7" t="s">
        <v>166</v>
      </c>
      <c r="F211" s="7" t="s">
        <v>24</v>
      </c>
      <c r="G211" s="7" t="s">
        <v>37</v>
      </c>
    </row>
    <row r="212" spans="1:7" ht="11.25">
      <c r="A212" s="4">
        <f>DATE(2025,3,24)+TIME(13,9,5)</f>
        <v>45740.54797453704</v>
      </c>
      <c r="B212" s="8" t="s">
        <v>33</v>
      </c>
      <c r="C212" s="8" t="s">
        <v>558</v>
      </c>
      <c r="D212" s="8" t="s">
        <v>559</v>
      </c>
      <c r="E212" s="8" t="s">
        <v>560</v>
      </c>
      <c r="F212" s="8" t="s">
        <v>23</v>
      </c>
      <c r="G212" s="8" t="s">
        <v>37</v>
      </c>
    </row>
    <row r="213" spans="1:7" ht="11.25">
      <c r="A213" s="2">
        <f>DATE(2024,11,27)+TIME(12,1,2)</f>
        <v>45623.50071759259</v>
      </c>
      <c r="B213" s="7" t="s">
        <v>33</v>
      </c>
      <c r="C213" s="7" t="s">
        <v>561</v>
      </c>
      <c r="D213" s="7" t="s">
        <v>562</v>
      </c>
      <c r="E213" s="7" t="s">
        <v>563</v>
      </c>
      <c r="F213" s="7" t="s">
        <v>27</v>
      </c>
      <c r="G213" s="7" t="s">
        <v>37</v>
      </c>
    </row>
    <row r="214" spans="1:7" ht="11.25">
      <c r="A214" s="4">
        <f>DATE(2025,1,14)+TIME(10,27,21)</f>
        <v>45671.43565972222</v>
      </c>
      <c r="B214" s="8" t="s">
        <v>33</v>
      </c>
      <c r="C214" s="8" t="s">
        <v>281</v>
      </c>
      <c r="D214" s="8" t="s">
        <v>564</v>
      </c>
      <c r="E214" s="8" t="s">
        <v>46</v>
      </c>
      <c r="F214" s="8" t="s">
        <v>23</v>
      </c>
      <c r="G214" s="8" t="s">
        <v>37</v>
      </c>
    </row>
    <row r="215" spans="1:7" ht="11.25">
      <c r="A215" s="2">
        <f>DATE(2025,2,27)+TIME(9,47,35)</f>
        <v>45715.40804398148</v>
      </c>
      <c r="B215" s="7" t="s">
        <v>33</v>
      </c>
      <c r="C215" s="7" t="s">
        <v>565</v>
      </c>
      <c r="D215" s="7" t="s">
        <v>566</v>
      </c>
      <c r="E215" s="7" t="s">
        <v>46</v>
      </c>
      <c r="F215" s="7" t="s">
        <v>23</v>
      </c>
      <c r="G215" s="7" t="s">
        <v>37</v>
      </c>
    </row>
    <row r="216" spans="1:7" ht="11.25">
      <c r="A216" s="4">
        <f>DATE(2024,12,13)+TIME(11,47,42)</f>
        <v>45639.49145833333</v>
      </c>
      <c r="B216" s="8" t="s">
        <v>33</v>
      </c>
      <c r="C216" s="8" t="s">
        <v>567</v>
      </c>
      <c r="D216" s="8" t="s">
        <v>568</v>
      </c>
      <c r="E216" s="8" t="s">
        <v>569</v>
      </c>
      <c r="F216" s="8" t="s">
        <v>27</v>
      </c>
      <c r="G216" s="8" t="s">
        <v>37</v>
      </c>
    </row>
    <row r="217" spans="1:7" ht="11.25">
      <c r="A217" s="2">
        <f>DATE(2025,4,4)+TIME(16,29,51)</f>
        <v>45751.68739583333</v>
      </c>
      <c r="B217" s="7" t="s">
        <v>33</v>
      </c>
      <c r="C217" s="7" t="s">
        <v>570</v>
      </c>
      <c r="D217" s="7" t="s">
        <v>571</v>
      </c>
      <c r="E217" s="7" t="s">
        <v>572</v>
      </c>
      <c r="F217" s="7" t="s">
        <v>28</v>
      </c>
      <c r="G217" s="7" t="s">
        <v>37</v>
      </c>
    </row>
    <row r="218" spans="1:7" ht="11.25">
      <c r="A218" s="4">
        <f>DATE(2025,2,27)+TIME(15,25,58)</f>
        <v>45715.64303240741</v>
      </c>
      <c r="B218" s="8" t="s">
        <v>33</v>
      </c>
      <c r="C218" s="8" t="s">
        <v>162</v>
      </c>
      <c r="D218" s="8" t="s">
        <v>573</v>
      </c>
      <c r="E218" s="8" t="s">
        <v>332</v>
      </c>
      <c r="F218" s="8" t="s">
        <v>28</v>
      </c>
      <c r="G218" s="8" t="s">
        <v>37</v>
      </c>
    </row>
    <row r="219" spans="1:7" ht="11.25">
      <c r="A219" s="2">
        <f>DATE(2025,3,3)+TIME(17,12,16)</f>
        <v>45719.71685185185</v>
      </c>
      <c r="B219" s="7" t="s">
        <v>33</v>
      </c>
      <c r="C219" s="7" t="s">
        <v>574</v>
      </c>
      <c r="D219" s="7" t="s">
        <v>575</v>
      </c>
      <c r="E219" s="7" t="s">
        <v>46</v>
      </c>
      <c r="F219" s="7" t="s">
        <v>27</v>
      </c>
      <c r="G219" s="7" t="s">
        <v>37</v>
      </c>
    </row>
    <row r="220" spans="1:7" ht="11.25">
      <c r="A220" s="4">
        <f>DATE(2025,3,22)+TIME(11,37,58)</f>
        <v>45738.48469907408</v>
      </c>
      <c r="B220" s="8" t="s">
        <v>33</v>
      </c>
      <c r="C220" s="8" t="s">
        <v>576</v>
      </c>
      <c r="D220" s="8" t="s">
        <v>577</v>
      </c>
      <c r="E220" s="8" t="s">
        <v>578</v>
      </c>
      <c r="F220" s="8" t="s">
        <v>26</v>
      </c>
      <c r="G220" s="8" t="s">
        <v>37</v>
      </c>
    </row>
    <row r="221" spans="1:7" ht="11.25">
      <c r="A221" s="2">
        <f>DATE(2025,3,4)+TIME(15,14,10)</f>
        <v>45720.63483796296</v>
      </c>
      <c r="B221" s="7" t="s">
        <v>33</v>
      </c>
      <c r="C221" s="7" t="s">
        <v>579</v>
      </c>
      <c r="D221" s="7" t="s">
        <v>401</v>
      </c>
      <c r="E221" s="7" t="s">
        <v>71</v>
      </c>
      <c r="F221" s="7" t="s">
        <v>27</v>
      </c>
      <c r="G221" s="7" t="s">
        <v>37</v>
      </c>
    </row>
    <row r="222" spans="1:7" ht="11.25">
      <c r="A222" s="4">
        <f>DATE(2025,1,30)+TIME(14,57,43)</f>
        <v>45687.62341435185</v>
      </c>
      <c r="B222" s="8" t="s">
        <v>33</v>
      </c>
      <c r="C222" s="8" t="s">
        <v>580</v>
      </c>
      <c r="D222" s="8" t="s">
        <v>581</v>
      </c>
      <c r="E222" s="8" t="s">
        <v>582</v>
      </c>
      <c r="F222" s="8" t="s">
        <v>23</v>
      </c>
      <c r="G222" s="8" t="s">
        <v>37</v>
      </c>
    </row>
    <row r="223" spans="1:7" ht="11.25">
      <c r="A223" s="2">
        <f>DATE(2025,2,6)+TIME(19,35,34)</f>
        <v>45694.81636574074</v>
      </c>
      <c r="B223" s="7" t="s">
        <v>33</v>
      </c>
      <c r="C223" s="7" t="s">
        <v>583</v>
      </c>
      <c r="D223" s="7" t="s">
        <v>584</v>
      </c>
      <c r="E223" s="7" t="s">
        <v>585</v>
      </c>
      <c r="F223" s="7" t="s">
        <v>23</v>
      </c>
      <c r="G223" s="7" t="s">
        <v>37</v>
      </c>
    </row>
    <row r="224" spans="1:7" ht="11.25">
      <c r="A224" s="4">
        <f>DATE(2025,1,22)+TIME(11,53,1)</f>
        <v>45679.495150462964</v>
      </c>
      <c r="B224" s="8" t="s">
        <v>33</v>
      </c>
      <c r="C224" s="8" t="s">
        <v>104</v>
      </c>
      <c r="D224" s="8" t="s">
        <v>586</v>
      </c>
      <c r="E224" s="8" t="s">
        <v>587</v>
      </c>
      <c r="F224" s="8" t="s">
        <v>24</v>
      </c>
      <c r="G224" s="8" t="s">
        <v>37</v>
      </c>
    </row>
    <row r="225" spans="1:7" ht="11.25">
      <c r="A225" s="2">
        <f>DATE(2025,4,13)+TIME(15,56,40)</f>
        <v>45760.664351851854</v>
      </c>
      <c r="B225" s="7" t="s">
        <v>33</v>
      </c>
      <c r="C225" s="7" t="s">
        <v>588</v>
      </c>
      <c r="D225" s="7" t="s">
        <v>589</v>
      </c>
      <c r="E225" s="7" t="s">
        <v>590</v>
      </c>
      <c r="F225" s="7" t="s">
        <v>26</v>
      </c>
      <c r="G225" s="7" t="s">
        <v>37</v>
      </c>
    </row>
    <row r="226" spans="1:7" ht="11.25">
      <c r="A226" s="4">
        <f>DATE(2025,1,27)+TIME(21,0,46)</f>
        <v>45684.87553240741</v>
      </c>
      <c r="B226" s="8" t="s">
        <v>33</v>
      </c>
      <c r="C226" s="8" t="s">
        <v>591</v>
      </c>
      <c r="D226" s="8" t="s">
        <v>592</v>
      </c>
      <c r="E226" s="8" t="s">
        <v>593</v>
      </c>
      <c r="F226" s="8" t="s">
        <v>23</v>
      </c>
      <c r="G226" s="8" t="s">
        <v>37</v>
      </c>
    </row>
    <row r="227" spans="1:7" ht="11.25">
      <c r="A227" s="2">
        <f>DATE(2025,4,5)+TIME(15,59,19)</f>
        <v>45752.66619212963</v>
      </c>
      <c r="B227" s="7" t="s">
        <v>33</v>
      </c>
      <c r="C227" s="7" t="s">
        <v>594</v>
      </c>
      <c r="D227" s="7" t="s">
        <v>595</v>
      </c>
      <c r="E227" s="7" t="s">
        <v>495</v>
      </c>
      <c r="F227" s="7" t="s">
        <v>23</v>
      </c>
      <c r="G227" s="7" t="s">
        <v>37</v>
      </c>
    </row>
    <row r="228" spans="1:7" ht="11.25">
      <c r="A228" s="4">
        <f>DATE(2025,4,1)+TIME(13,59,45)</f>
        <v>45748.58315972222</v>
      </c>
      <c r="B228" s="8" t="s">
        <v>33</v>
      </c>
      <c r="C228" s="8" t="s">
        <v>83</v>
      </c>
      <c r="D228" s="8" t="s">
        <v>596</v>
      </c>
      <c r="E228" s="8" t="s">
        <v>124</v>
      </c>
      <c r="F228" s="8" t="s">
        <v>27</v>
      </c>
      <c r="G228" s="8" t="s">
        <v>37</v>
      </c>
    </row>
    <row r="229" spans="1:7" ht="11.25">
      <c r="A229" s="2">
        <f>DATE(2025,2,23)+TIME(16,14,27)</f>
        <v>45711.67670138889</v>
      </c>
      <c r="B229" s="7" t="s">
        <v>33</v>
      </c>
      <c r="C229" s="7" t="s">
        <v>597</v>
      </c>
      <c r="D229" s="7" t="s">
        <v>598</v>
      </c>
      <c r="E229" s="7" t="s">
        <v>599</v>
      </c>
      <c r="F229" s="7" t="s">
        <v>23</v>
      </c>
      <c r="G229" s="7" t="s">
        <v>37</v>
      </c>
    </row>
    <row r="230" spans="1:7" ht="11.25">
      <c r="A230" s="4">
        <f>DATE(2025,1,22)+TIME(10,55,47)</f>
        <v>45679.455405092594</v>
      </c>
      <c r="B230" s="8" t="s">
        <v>33</v>
      </c>
      <c r="C230" s="8" t="s">
        <v>162</v>
      </c>
      <c r="D230" s="8" t="s">
        <v>600</v>
      </c>
      <c r="E230" s="8" t="s">
        <v>601</v>
      </c>
      <c r="F230" s="8" t="s">
        <v>23</v>
      </c>
      <c r="G230" s="8" t="s">
        <v>37</v>
      </c>
    </row>
    <row r="231" spans="1:7" ht="11.25">
      <c r="A231" s="2">
        <f>DATE(2025,4,10)+TIME(16,8,34)</f>
        <v>45757.67261574074</v>
      </c>
      <c r="B231" s="7" t="s">
        <v>33</v>
      </c>
      <c r="C231" s="7" t="s">
        <v>602</v>
      </c>
      <c r="D231" s="7" t="s">
        <v>603</v>
      </c>
      <c r="E231" s="7"/>
      <c r="F231" s="7" t="s">
        <v>26</v>
      </c>
      <c r="G231" s="7" t="s">
        <v>37</v>
      </c>
    </row>
    <row r="232" spans="1:7" ht="11.25">
      <c r="A232" s="4">
        <f>DATE(2025,3,10)+TIME(13,16,11)</f>
        <v>45726.55290509259</v>
      </c>
      <c r="B232" s="8" t="s">
        <v>33</v>
      </c>
      <c r="C232" s="8" t="s">
        <v>604</v>
      </c>
      <c r="D232" s="8" t="s">
        <v>605</v>
      </c>
      <c r="E232" s="8" t="s">
        <v>606</v>
      </c>
      <c r="F232" s="8" t="s">
        <v>23</v>
      </c>
      <c r="G232" s="8" t="s">
        <v>37</v>
      </c>
    </row>
    <row r="233" spans="1:7" ht="11.25">
      <c r="A233" s="2">
        <f>DATE(2025,1,23)+TIME(8,26,43)</f>
        <v>45680.35188657408</v>
      </c>
      <c r="B233" s="7" t="s">
        <v>33</v>
      </c>
      <c r="C233" s="7" t="s">
        <v>607</v>
      </c>
      <c r="D233" s="7" t="s">
        <v>608</v>
      </c>
      <c r="E233" s="7" t="s">
        <v>609</v>
      </c>
      <c r="F233" s="7" t="s">
        <v>23</v>
      </c>
      <c r="G233" s="7" t="s">
        <v>37</v>
      </c>
    </row>
    <row r="234" spans="1:7" ht="11.25">
      <c r="A234" s="4">
        <f>DATE(2025,3,18)+TIME(16,18,55)</f>
        <v>45734.67980324074</v>
      </c>
      <c r="B234" s="8" t="s">
        <v>33</v>
      </c>
      <c r="C234" s="8" t="s">
        <v>77</v>
      </c>
      <c r="D234" s="8" t="s">
        <v>610</v>
      </c>
      <c r="E234" s="8" t="s">
        <v>40</v>
      </c>
      <c r="F234" s="8" t="s">
        <v>24</v>
      </c>
      <c r="G234" s="8" t="s">
        <v>37</v>
      </c>
    </row>
    <row r="235" spans="1:7" ht="11.25">
      <c r="A235" s="2">
        <f>DATE(2025,4,6)+TIME(10,52,31)</f>
        <v>45753.45313657408</v>
      </c>
      <c r="B235" s="7" t="s">
        <v>33</v>
      </c>
      <c r="C235" s="7" t="s">
        <v>254</v>
      </c>
      <c r="D235" s="7" t="s">
        <v>611</v>
      </c>
      <c r="E235" s="7" t="s">
        <v>612</v>
      </c>
      <c r="F235" s="7" t="s">
        <v>23</v>
      </c>
      <c r="G235" s="7" t="s">
        <v>37</v>
      </c>
    </row>
    <row r="236" spans="1:7" ht="11.25">
      <c r="A236" s="4">
        <f>DATE(2025,3,4)+TIME(10,17,35)</f>
        <v>45720.428877314815</v>
      </c>
      <c r="B236" s="8" t="s">
        <v>33</v>
      </c>
      <c r="C236" s="8" t="s">
        <v>613</v>
      </c>
      <c r="D236" s="8" t="s">
        <v>614</v>
      </c>
      <c r="E236" s="8" t="s">
        <v>615</v>
      </c>
      <c r="F236" s="8" t="s">
        <v>28</v>
      </c>
      <c r="G236" s="8" t="s">
        <v>37</v>
      </c>
    </row>
    <row r="237" spans="1:7" ht="11.25">
      <c r="A237" s="2">
        <f>DATE(2025,4,3)+TIME(13,49,16)</f>
        <v>45750.57587962963</v>
      </c>
      <c r="B237" s="7" t="s">
        <v>33</v>
      </c>
      <c r="C237" s="7" t="s">
        <v>616</v>
      </c>
      <c r="D237" s="7" t="s">
        <v>617</v>
      </c>
      <c r="E237" s="7" t="s">
        <v>618</v>
      </c>
      <c r="F237" s="7" t="s">
        <v>24</v>
      </c>
      <c r="G237" s="7" t="s">
        <v>37</v>
      </c>
    </row>
    <row r="238" spans="1:7" ht="11.25">
      <c r="A238" s="4">
        <f>DATE(2025,4,15)+TIME(4,26,21)</f>
        <v>45762.184965277775</v>
      </c>
      <c r="B238" s="8" t="s">
        <v>33</v>
      </c>
      <c r="C238" s="8" t="s">
        <v>619</v>
      </c>
      <c r="D238" s="8" t="s">
        <v>620</v>
      </c>
      <c r="E238" s="8" t="s">
        <v>621</v>
      </c>
      <c r="F238" s="8" t="s">
        <v>26</v>
      </c>
      <c r="G238" s="8" t="s">
        <v>37</v>
      </c>
    </row>
    <row r="239" spans="1:7" ht="11.25">
      <c r="A239" s="2">
        <f>DATE(2025,1,29)+TIME(13,54,59)</f>
        <v>45686.57984953704</v>
      </c>
      <c r="B239" s="7" t="s">
        <v>33</v>
      </c>
      <c r="C239" s="7" t="s">
        <v>622</v>
      </c>
      <c r="D239" s="7" t="s">
        <v>623</v>
      </c>
      <c r="E239" s="7" t="s">
        <v>624</v>
      </c>
      <c r="F239" s="7" t="s">
        <v>27</v>
      </c>
      <c r="G239" s="7" t="s">
        <v>37</v>
      </c>
    </row>
    <row r="240" spans="1:7" ht="11.25">
      <c r="A240" s="4">
        <f>DATE(2025,3,14)+TIME(11,32,33)</f>
        <v>45730.4809375</v>
      </c>
      <c r="B240" s="8" t="s">
        <v>33</v>
      </c>
      <c r="C240" s="8" t="s">
        <v>625</v>
      </c>
      <c r="D240" s="8" t="s">
        <v>626</v>
      </c>
      <c r="E240" s="8" t="s">
        <v>627</v>
      </c>
      <c r="F240" s="8" t="s">
        <v>23</v>
      </c>
      <c r="G240" s="8" t="s">
        <v>37</v>
      </c>
    </row>
    <row r="241" spans="1:7" ht="11.25">
      <c r="A241" s="2">
        <f>DATE(2025,2,17)+TIME(18,56,26)</f>
        <v>45705.789189814815</v>
      </c>
      <c r="B241" s="7" t="s">
        <v>33</v>
      </c>
      <c r="C241" s="7" t="s">
        <v>628</v>
      </c>
      <c r="D241" s="7" t="s">
        <v>629</v>
      </c>
      <c r="E241" s="7" t="s">
        <v>97</v>
      </c>
      <c r="F241" s="7" t="s">
        <v>28</v>
      </c>
      <c r="G241" s="7" t="s">
        <v>37</v>
      </c>
    </row>
    <row r="242" spans="1:7" ht="11.25">
      <c r="A242" s="4">
        <f>DATE(2024,11,19)+TIME(16,17,38)</f>
        <v>45615.67891203704</v>
      </c>
      <c r="B242" s="8" t="s">
        <v>33</v>
      </c>
      <c r="C242" s="8" t="s">
        <v>630</v>
      </c>
      <c r="D242" s="8" t="s">
        <v>631</v>
      </c>
      <c r="E242" s="8" t="s">
        <v>71</v>
      </c>
      <c r="F242" s="8" t="s">
        <v>27</v>
      </c>
      <c r="G242" s="8" t="s">
        <v>37</v>
      </c>
    </row>
    <row r="243" spans="1:7" ht="11.25">
      <c r="A243" s="2">
        <f>DATE(2025,2,3)+TIME(10,47,36)</f>
        <v>45691.44972222222</v>
      </c>
      <c r="B243" s="7" t="s">
        <v>33</v>
      </c>
      <c r="C243" s="7" t="s">
        <v>632</v>
      </c>
      <c r="D243" s="7" t="s">
        <v>633</v>
      </c>
      <c r="E243" s="7" t="s">
        <v>332</v>
      </c>
      <c r="F243" s="7" t="s">
        <v>23</v>
      </c>
      <c r="G243" s="7" t="s">
        <v>37</v>
      </c>
    </row>
    <row r="244" spans="1:7" ht="11.25">
      <c r="A244" s="4">
        <f>DATE(2025,4,15)+TIME(11,17,12)</f>
        <v>45762.47027777778</v>
      </c>
      <c r="B244" s="8" t="s">
        <v>33</v>
      </c>
      <c r="C244" s="8" t="s">
        <v>634</v>
      </c>
      <c r="D244" s="8" t="s">
        <v>635</v>
      </c>
      <c r="E244" s="8" t="s">
        <v>636</v>
      </c>
      <c r="F244" s="8" t="s">
        <v>29</v>
      </c>
      <c r="G244" s="8" t="s">
        <v>37</v>
      </c>
    </row>
    <row r="245" spans="1:7" ht="11.25">
      <c r="A245" s="2">
        <f>DATE(2025,3,19)+TIME(13,50,33)</f>
        <v>45735.57677083334</v>
      </c>
      <c r="B245" s="7" t="s">
        <v>33</v>
      </c>
      <c r="C245" s="7" t="s">
        <v>637</v>
      </c>
      <c r="D245" s="7" t="s">
        <v>638</v>
      </c>
      <c r="E245" s="7" t="s">
        <v>639</v>
      </c>
      <c r="F245" s="7" t="s">
        <v>24</v>
      </c>
      <c r="G245" s="7" t="s">
        <v>37</v>
      </c>
    </row>
    <row r="246" spans="1:7" ht="11.25">
      <c r="A246" s="4">
        <f>DATE(2025,3,4)+TIME(16,52,46)</f>
        <v>45720.703310185185</v>
      </c>
      <c r="B246" s="8" t="s">
        <v>33</v>
      </c>
      <c r="C246" s="8" t="s">
        <v>640</v>
      </c>
      <c r="D246" s="8" t="s">
        <v>641</v>
      </c>
      <c r="E246" s="8" t="s">
        <v>188</v>
      </c>
      <c r="F246" s="8" t="s">
        <v>25</v>
      </c>
      <c r="G246" s="8" t="s">
        <v>37</v>
      </c>
    </row>
    <row r="247" spans="1:7" ht="11.25">
      <c r="A247" s="2">
        <f>DATE(2025,3,26)+TIME(16,29,25)</f>
        <v>45742.68709490741</v>
      </c>
      <c r="B247" s="7" t="s">
        <v>33</v>
      </c>
      <c r="C247" s="7" t="s">
        <v>642</v>
      </c>
      <c r="D247" s="7" t="s">
        <v>643</v>
      </c>
      <c r="E247" s="7" t="s">
        <v>644</v>
      </c>
      <c r="F247" s="7" t="s">
        <v>23</v>
      </c>
      <c r="G247" s="7" t="s">
        <v>37</v>
      </c>
    </row>
    <row r="248" spans="1:7" ht="11.25">
      <c r="A248" s="4">
        <f>DATE(2025,3,3)+TIME(16,57,45)</f>
        <v>45719.706770833334</v>
      </c>
      <c r="B248" s="8" t="s">
        <v>33</v>
      </c>
      <c r="C248" s="8" t="s">
        <v>645</v>
      </c>
      <c r="D248" s="8" t="s">
        <v>646</v>
      </c>
      <c r="E248" s="8" t="s">
        <v>46</v>
      </c>
      <c r="F248" s="8" t="s">
        <v>25</v>
      </c>
      <c r="G248" s="8" t="s">
        <v>37</v>
      </c>
    </row>
    <row r="249" spans="1:7" ht="11.25">
      <c r="A249" s="2">
        <f>DATE(2025,1,30)+TIME(13,48,29)</f>
        <v>45687.57533564815</v>
      </c>
      <c r="B249" s="7" t="s">
        <v>33</v>
      </c>
      <c r="C249" s="7" t="s">
        <v>647</v>
      </c>
      <c r="D249" s="7" t="s">
        <v>648</v>
      </c>
      <c r="E249" s="7" t="s">
        <v>46</v>
      </c>
      <c r="F249" s="7" t="s">
        <v>25</v>
      </c>
      <c r="G249" s="7" t="s">
        <v>37</v>
      </c>
    </row>
    <row r="250" spans="1:7" ht="11.25">
      <c r="A250" s="4">
        <f>DATE(2025,3,7)+TIME(10,18,57)</f>
        <v>45723.42982638889</v>
      </c>
      <c r="B250" s="8" t="s">
        <v>33</v>
      </c>
      <c r="C250" s="8" t="s">
        <v>649</v>
      </c>
      <c r="D250" s="8" t="s">
        <v>650</v>
      </c>
      <c r="E250" s="8" t="s">
        <v>71</v>
      </c>
      <c r="F250" s="8" t="s">
        <v>27</v>
      </c>
      <c r="G250" s="8" t="s">
        <v>37</v>
      </c>
    </row>
    <row r="251" spans="1:7" ht="11.25">
      <c r="A251" s="2">
        <f>DATE(2024,11,19)+TIME(15,56,16)</f>
        <v>45615.66407407408</v>
      </c>
      <c r="B251" s="7" t="s">
        <v>33</v>
      </c>
      <c r="C251" s="7" t="s">
        <v>278</v>
      </c>
      <c r="D251" s="7" t="s">
        <v>651</v>
      </c>
      <c r="E251" s="7" t="s">
        <v>124</v>
      </c>
      <c r="F251" s="7" t="s">
        <v>27</v>
      </c>
      <c r="G251" s="7" t="s">
        <v>37</v>
      </c>
    </row>
    <row r="252" spans="1:7" ht="11.25">
      <c r="A252" s="4">
        <f>DATE(2025,3,3)+TIME(16,12,53)</f>
        <v>45719.67561342593</v>
      </c>
      <c r="B252" s="8" t="s">
        <v>33</v>
      </c>
      <c r="C252" s="8" t="s">
        <v>652</v>
      </c>
      <c r="D252" s="8" t="s">
        <v>653</v>
      </c>
      <c r="E252" s="8" t="s">
        <v>71</v>
      </c>
      <c r="F252" s="8" t="s">
        <v>27</v>
      </c>
      <c r="G252" s="8" t="s">
        <v>37</v>
      </c>
    </row>
    <row r="253" spans="1:7" ht="11.25">
      <c r="A253" s="2">
        <f>DATE(2025,4,2)+TIME(11,37,57)</f>
        <v>45749.4846875</v>
      </c>
      <c r="B253" s="7" t="s">
        <v>33</v>
      </c>
      <c r="C253" s="7" t="s">
        <v>649</v>
      </c>
      <c r="D253" s="7" t="s">
        <v>654</v>
      </c>
      <c r="E253" s="7" t="s">
        <v>65</v>
      </c>
      <c r="F253" s="7" t="s">
        <v>29</v>
      </c>
      <c r="G253" s="7" t="s">
        <v>37</v>
      </c>
    </row>
    <row r="254" spans="1:7" ht="11.25">
      <c r="A254" s="4">
        <f>DATE(2024,11,19)+TIME(15,51,58)</f>
        <v>45615.661087962966</v>
      </c>
      <c r="B254" s="8" t="s">
        <v>33</v>
      </c>
      <c r="C254" s="8" t="s">
        <v>655</v>
      </c>
      <c r="D254" s="8" t="s">
        <v>656</v>
      </c>
      <c r="E254" s="8" t="s">
        <v>97</v>
      </c>
      <c r="F254" s="8" t="s">
        <v>27</v>
      </c>
      <c r="G254" s="8" t="s">
        <v>37</v>
      </c>
    </row>
    <row r="255" spans="1:7" ht="11.25">
      <c r="A255" s="2">
        <f>DATE(2025,4,3)+TIME(12,9,45)</f>
        <v>45750.50677083333</v>
      </c>
      <c r="B255" s="7" t="s">
        <v>33</v>
      </c>
      <c r="C255" s="7" t="s">
        <v>231</v>
      </c>
      <c r="D255" s="7" t="s">
        <v>657</v>
      </c>
      <c r="E255" s="7" t="s">
        <v>71</v>
      </c>
      <c r="F255" s="7" t="s">
        <v>23</v>
      </c>
      <c r="G255" s="7" t="s">
        <v>37</v>
      </c>
    </row>
    <row r="256" spans="1:7" ht="11.25">
      <c r="A256" s="4">
        <f>DATE(2025,3,14)+TIME(15,41,36)</f>
        <v>45730.65388888889</v>
      </c>
      <c r="B256" s="8" t="s">
        <v>33</v>
      </c>
      <c r="C256" s="8" t="s">
        <v>658</v>
      </c>
      <c r="D256" s="8" t="s">
        <v>659</v>
      </c>
      <c r="E256" s="8" t="s">
        <v>46</v>
      </c>
      <c r="F256" s="8" t="s">
        <v>23</v>
      </c>
      <c r="G256" s="8" t="s">
        <v>37</v>
      </c>
    </row>
    <row r="257" spans="1:7" ht="11.25">
      <c r="A257" s="2">
        <f>DATE(2025,4,4)+TIME(13,7,36)</f>
        <v>45751.546944444446</v>
      </c>
      <c r="B257" s="7" t="s">
        <v>33</v>
      </c>
      <c r="C257" s="7" t="s">
        <v>438</v>
      </c>
      <c r="D257" s="7" t="s">
        <v>660</v>
      </c>
      <c r="E257" s="7" t="s">
        <v>661</v>
      </c>
      <c r="F257" s="7" t="s">
        <v>23</v>
      </c>
      <c r="G257" s="7" t="s">
        <v>37</v>
      </c>
    </row>
    <row r="258" spans="1:7" ht="11.25">
      <c r="A258" s="4">
        <f>DATE(2025,2,27)+TIME(8,51,13)</f>
        <v>45715.36890046296</v>
      </c>
      <c r="B258" s="8" t="s">
        <v>33</v>
      </c>
      <c r="C258" s="8" t="s">
        <v>662</v>
      </c>
      <c r="D258" s="8" t="s">
        <v>663</v>
      </c>
      <c r="E258" s="8" t="s">
        <v>664</v>
      </c>
      <c r="F258" s="8" t="s">
        <v>28</v>
      </c>
      <c r="G258" s="8" t="s">
        <v>37</v>
      </c>
    </row>
    <row r="259" spans="1:7" ht="11.25">
      <c r="A259" s="2">
        <f>DATE(2025,4,13)+TIME(16,19,36)</f>
        <v>45760.68027777778</v>
      </c>
      <c r="B259" s="7" t="s">
        <v>33</v>
      </c>
      <c r="C259" s="7" t="s">
        <v>665</v>
      </c>
      <c r="D259" s="7" t="s">
        <v>666</v>
      </c>
      <c r="E259" s="7" t="s">
        <v>667</v>
      </c>
      <c r="F259" s="7" t="s">
        <v>26</v>
      </c>
      <c r="G259" s="7" t="s">
        <v>37</v>
      </c>
    </row>
    <row r="260" spans="1:7" ht="11.25">
      <c r="A260" s="4">
        <f>DATE(2025,3,28)+TIME(14,13,49)</f>
        <v>45744.59292824074</v>
      </c>
      <c r="B260" s="8" t="s">
        <v>33</v>
      </c>
      <c r="C260" s="8" t="s">
        <v>668</v>
      </c>
      <c r="D260" s="8" t="s">
        <v>669</v>
      </c>
      <c r="E260" s="8" t="s">
        <v>46</v>
      </c>
      <c r="F260" s="8" t="s">
        <v>23</v>
      </c>
      <c r="G260" s="8" t="s">
        <v>37</v>
      </c>
    </row>
    <row r="261" spans="1:7" ht="11.25">
      <c r="A261" s="2">
        <f>DATE(2024,11,20)+TIME(15,42,57)</f>
        <v>45616.65482638889</v>
      </c>
      <c r="B261" s="7" t="s">
        <v>33</v>
      </c>
      <c r="C261" s="7" t="s">
        <v>670</v>
      </c>
      <c r="D261" s="7" t="s">
        <v>671</v>
      </c>
      <c r="E261" s="7" t="s">
        <v>124</v>
      </c>
      <c r="F261" s="7" t="s">
        <v>27</v>
      </c>
      <c r="G261" s="7" t="s">
        <v>37</v>
      </c>
    </row>
    <row r="262" spans="1:7" ht="11.25">
      <c r="A262" s="4">
        <f>DATE(2025,3,3)+TIME(15,7,57)</f>
        <v>45719.630520833336</v>
      </c>
      <c r="B262" s="8" t="s">
        <v>33</v>
      </c>
      <c r="C262" s="8" t="s">
        <v>672</v>
      </c>
      <c r="D262" s="8" t="s">
        <v>673</v>
      </c>
      <c r="E262" s="8" t="s">
        <v>100</v>
      </c>
      <c r="F262" s="8" t="s">
        <v>25</v>
      </c>
      <c r="G262" s="8" t="s">
        <v>37</v>
      </c>
    </row>
    <row r="263" spans="1:7" ht="11.25">
      <c r="A263" s="2">
        <f>DATE(2025,3,3)+TIME(15,17,42)</f>
        <v>45719.637291666666</v>
      </c>
      <c r="B263" s="7" t="s">
        <v>33</v>
      </c>
      <c r="C263" s="7" t="s">
        <v>330</v>
      </c>
      <c r="D263" s="7" t="s">
        <v>674</v>
      </c>
      <c r="E263" s="7" t="s">
        <v>675</v>
      </c>
      <c r="F263" s="7" t="s">
        <v>24</v>
      </c>
      <c r="G263" s="7" t="s">
        <v>37</v>
      </c>
    </row>
    <row r="264" spans="1:7" ht="11.25">
      <c r="A264" s="4">
        <f>DATE(2025,4,13)+TIME(16,43,36)</f>
        <v>45760.69694444445</v>
      </c>
      <c r="B264" s="8" t="s">
        <v>33</v>
      </c>
      <c r="C264" s="8" t="s">
        <v>676</v>
      </c>
      <c r="D264" s="8" t="s">
        <v>677</v>
      </c>
      <c r="E264" s="8" t="s">
        <v>280</v>
      </c>
      <c r="F264" s="8" t="s">
        <v>26</v>
      </c>
      <c r="G264" s="8" t="s">
        <v>37</v>
      </c>
    </row>
    <row r="265" spans="1:7" ht="11.25">
      <c r="A265" s="2">
        <f>DATE(2025,3,10)+TIME(12,59,41)</f>
        <v>45726.541446759256</v>
      </c>
      <c r="B265" s="7" t="s">
        <v>33</v>
      </c>
      <c r="C265" s="7" t="s">
        <v>678</v>
      </c>
      <c r="D265" s="7" t="s">
        <v>679</v>
      </c>
      <c r="E265" s="7" t="s">
        <v>680</v>
      </c>
      <c r="F265" s="7" t="s">
        <v>24</v>
      </c>
      <c r="G265" s="7" t="s">
        <v>37</v>
      </c>
    </row>
    <row r="266" spans="1:7" ht="11.25">
      <c r="A266" s="4">
        <f>DATE(2025,4,10)+TIME(13,30,19)</f>
        <v>45757.56271990741</v>
      </c>
      <c r="B266" s="8" t="s">
        <v>33</v>
      </c>
      <c r="C266" s="8" t="s">
        <v>681</v>
      </c>
      <c r="D266" s="8" t="s">
        <v>682</v>
      </c>
      <c r="E266" s="8" t="s">
        <v>260</v>
      </c>
      <c r="F266" s="8" t="s">
        <v>28</v>
      </c>
      <c r="G266" s="8" t="s">
        <v>37</v>
      </c>
    </row>
    <row r="267" spans="1:7" ht="11.25">
      <c r="A267" s="2">
        <f>DATE(2025,4,3)+TIME(14,10,8)</f>
        <v>45750.59037037037</v>
      </c>
      <c r="B267" s="7" t="s">
        <v>33</v>
      </c>
      <c r="C267" s="7" t="s">
        <v>683</v>
      </c>
      <c r="D267" s="7" t="s">
        <v>684</v>
      </c>
      <c r="E267" s="7" t="s">
        <v>147</v>
      </c>
      <c r="F267" s="7" t="s">
        <v>30</v>
      </c>
      <c r="G267" s="7" t="s">
        <v>37</v>
      </c>
    </row>
    <row r="268" spans="1:7" ht="11.25">
      <c r="A268" s="4">
        <f>DATE(2025,4,1)+TIME(17,44,55)</f>
        <v>45748.73952546297</v>
      </c>
      <c r="B268" s="8" t="s">
        <v>33</v>
      </c>
      <c r="C268" s="8" t="s">
        <v>685</v>
      </c>
      <c r="D268" s="8" t="s">
        <v>105</v>
      </c>
      <c r="E268" s="8" t="s">
        <v>686</v>
      </c>
      <c r="F268" s="8" t="s">
        <v>23</v>
      </c>
      <c r="G268" s="8" t="s">
        <v>37</v>
      </c>
    </row>
    <row r="269" spans="1:7" ht="11.25">
      <c r="A269" s="2">
        <f>DATE(2025,1,23)+TIME(13,20,1)</f>
        <v>45680.55556712963</v>
      </c>
      <c r="B269" s="7" t="s">
        <v>33</v>
      </c>
      <c r="C269" s="7" t="s">
        <v>200</v>
      </c>
      <c r="D269" s="7" t="s">
        <v>687</v>
      </c>
      <c r="E269" s="7" t="s">
        <v>332</v>
      </c>
      <c r="F269" s="7" t="s">
        <v>30</v>
      </c>
      <c r="G269" s="7" t="s">
        <v>37</v>
      </c>
    </row>
    <row r="270" spans="1:7" ht="11.25">
      <c r="A270" s="4">
        <f>DATE(2025,4,13)+TIME(16,37,23)</f>
        <v>45760.69262731481</v>
      </c>
      <c r="B270" s="8" t="s">
        <v>33</v>
      </c>
      <c r="C270" s="8" t="s">
        <v>688</v>
      </c>
      <c r="D270" s="8" t="s">
        <v>689</v>
      </c>
      <c r="E270" s="8" t="s">
        <v>690</v>
      </c>
      <c r="F270" s="8" t="s">
        <v>26</v>
      </c>
      <c r="G270" s="8" t="s">
        <v>37</v>
      </c>
    </row>
    <row r="271" spans="1:7" ht="11.25">
      <c r="A271" s="2">
        <f>DATE(2025,2,4)+TIME(14,59,32)</f>
        <v>45692.62467592592</v>
      </c>
      <c r="B271" s="7" t="s">
        <v>33</v>
      </c>
      <c r="C271" s="7" t="s">
        <v>462</v>
      </c>
      <c r="D271" s="7" t="s">
        <v>691</v>
      </c>
      <c r="E271" s="7" t="s">
        <v>260</v>
      </c>
      <c r="F271" s="7" t="s">
        <v>25</v>
      </c>
      <c r="G271" s="7" t="s">
        <v>37</v>
      </c>
    </row>
    <row r="272" spans="1:7" ht="11.25">
      <c r="A272" s="4">
        <f>DATE(2025,1,23)+TIME(11,22,38)</f>
        <v>45680.47405092593</v>
      </c>
      <c r="B272" s="8" t="s">
        <v>33</v>
      </c>
      <c r="C272" s="8" t="s">
        <v>692</v>
      </c>
      <c r="D272" s="8" t="s">
        <v>693</v>
      </c>
      <c r="E272" s="8" t="s">
        <v>694</v>
      </c>
      <c r="F272" s="8" t="s">
        <v>23</v>
      </c>
      <c r="G272" s="8" t="s">
        <v>37</v>
      </c>
    </row>
    <row r="273" spans="1:7" ht="11.25">
      <c r="A273" s="2">
        <f>DATE(2025,2,18)+TIME(15,37,3)</f>
        <v>45706.650729166664</v>
      </c>
      <c r="B273" s="7" t="s">
        <v>33</v>
      </c>
      <c r="C273" s="7" t="s">
        <v>92</v>
      </c>
      <c r="D273" s="7" t="s">
        <v>695</v>
      </c>
      <c r="E273" s="7" t="s">
        <v>124</v>
      </c>
      <c r="F273" s="7" t="s">
        <v>29</v>
      </c>
      <c r="G273" s="7" t="s">
        <v>37</v>
      </c>
    </row>
    <row r="274" spans="1:7" ht="11.25">
      <c r="A274" s="4">
        <f>DATE(2025,1,13)+TIME(14,26,15)</f>
        <v>45670.6015625</v>
      </c>
      <c r="B274" s="8" t="s">
        <v>33</v>
      </c>
      <c r="C274" s="8" t="s">
        <v>696</v>
      </c>
      <c r="D274" s="8" t="s">
        <v>697</v>
      </c>
      <c r="E274" s="8" t="s">
        <v>698</v>
      </c>
      <c r="F274" s="8" t="s">
        <v>23</v>
      </c>
      <c r="G274" s="8" t="s">
        <v>37</v>
      </c>
    </row>
    <row r="275" spans="1:7" ht="11.25">
      <c r="A275" s="2">
        <f>DATE(2025,2,4)+TIME(16,1,22)</f>
        <v>45692.66761574074</v>
      </c>
      <c r="B275" s="7" t="s">
        <v>33</v>
      </c>
      <c r="C275" s="7" t="s">
        <v>699</v>
      </c>
      <c r="D275" s="7" t="s">
        <v>700</v>
      </c>
      <c r="E275" s="7" t="s">
        <v>260</v>
      </c>
      <c r="F275" s="7" t="s">
        <v>28</v>
      </c>
      <c r="G275" s="7" t="s">
        <v>37</v>
      </c>
    </row>
    <row r="276" spans="1:7" ht="11.25">
      <c r="A276" s="4">
        <f>DATE(2025,3,2)+TIME(15,46,1)</f>
        <v>45718.656956018516</v>
      </c>
      <c r="B276" s="8" t="s">
        <v>33</v>
      </c>
      <c r="C276" s="8" t="s">
        <v>701</v>
      </c>
      <c r="D276" s="8" t="s">
        <v>702</v>
      </c>
      <c r="E276" s="8" t="s">
        <v>703</v>
      </c>
      <c r="F276" s="8" t="s">
        <v>24</v>
      </c>
      <c r="G276" s="8" t="s">
        <v>37</v>
      </c>
    </row>
    <row r="277" spans="1:7" ht="11.25">
      <c r="A277" s="2">
        <f>DATE(2024,11,19)+TIME(15,51,42)</f>
        <v>45615.66090277778</v>
      </c>
      <c r="B277" s="7" t="s">
        <v>33</v>
      </c>
      <c r="C277" s="7" t="s">
        <v>704</v>
      </c>
      <c r="D277" s="7" t="s">
        <v>705</v>
      </c>
      <c r="E277" s="7" t="s">
        <v>706</v>
      </c>
      <c r="F277" s="7" t="s">
        <v>27</v>
      </c>
      <c r="G277" s="7" t="s">
        <v>37</v>
      </c>
    </row>
    <row r="278" spans="1:7" ht="11.25">
      <c r="A278" s="4">
        <f>DATE(2025,4,1)+TIME(12,17,57)</f>
        <v>45748.51246527778</v>
      </c>
      <c r="B278" s="8" t="s">
        <v>33</v>
      </c>
      <c r="C278" s="8" t="s">
        <v>707</v>
      </c>
      <c r="D278" s="8" t="s">
        <v>708</v>
      </c>
      <c r="E278" s="8" t="s">
        <v>709</v>
      </c>
      <c r="F278" s="8" t="s">
        <v>27</v>
      </c>
      <c r="G278" s="8" t="s">
        <v>37</v>
      </c>
    </row>
    <row r="279" spans="1:7" ht="11.25">
      <c r="A279" s="2">
        <f>DATE(2025,3,24)+TIME(13,7,26)</f>
        <v>45740.5468287037</v>
      </c>
      <c r="B279" s="7" t="s">
        <v>33</v>
      </c>
      <c r="C279" s="7" t="s">
        <v>710</v>
      </c>
      <c r="D279" s="7" t="s">
        <v>711</v>
      </c>
      <c r="E279" s="7" t="s">
        <v>260</v>
      </c>
      <c r="F279" s="7" t="s">
        <v>28</v>
      </c>
      <c r="G279" s="7" t="s">
        <v>37</v>
      </c>
    </row>
    <row r="280" spans="1:7" ht="11.25">
      <c r="A280" s="4">
        <f>DATE(2025,2,27)+TIME(16,22,34)</f>
        <v>45715.682337962964</v>
      </c>
      <c r="B280" s="8" t="s">
        <v>33</v>
      </c>
      <c r="C280" s="8" t="s">
        <v>712</v>
      </c>
      <c r="D280" s="8" t="s">
        <v>713</v>
      </c>
      <c r="E280" s="8" t="s">
        <v>46</v>
      </c>
      <c r="F280" s="8" t="s">
        <v>25</v>
      </c>
      <c r="G280" s="8" t="s">
        <v>37</v>
      </c>
    </row>
    <row r="281" spans="1:7" ht="11.25">
      <c r="A281" s="2">
        <f>DATE(2025,4,3)+TIME(13,19,29)</f>
        <v>45750.55519675926</v>
      </c>
      <c r="B281" s="7" t="s">
        <v>33</v>
      </c>
      <c r="C281" s="7" t="s">
        <v>714</v>
      </c>
      <c r="D281" s="7" t="s">
        <v>715</v>
      </c>
      <c r="E281" s="7" t="s">
        <v>147</v>
      </c>
      <c r="F281" s="7" t="s">
        <v>30</v>
      </c>
      <c r="G281" s="7" t="s">
        <v>37</v>
      </c>
    </row>
    <row r="282" spans="1:7" ht="11.25">
      <c r="A282" s="4">
        <f>DATE(2025,2,11)+TIME(15,21,55)</f>
        <v>45699.64021990741</v>
      </c>
      <c r="B282" s="8" t="s">
        <v>33</v>
      </c>
      <c r="C282" s="8" t="s">
        <v>716</v>
      </c>
      <c r="D282" s="8" t="s">
        <v>717</v>
      </c>
      <c r="E282" s="8" t="s">
        <v>718</v>
      </c>
      <c r="F282" s="8" t="s">
        <v>24</v>
      </c>
      <c r="G282" s="8" t="s">
        <v>37</v>
      </c>
    </row>
    <row r="283" spans="1:7" ht="11.25">
      <c r="A283" s="2">
        <f>DATE(2025,4,2)+TIME(14,56,4)</f>
        <v>45749.62226851852</v>
      </c>
      <c r="B283" s="7" t="s">
        <v>33</v>
      </c>
      <c r="C283" s="7" t="s">
        <v>719</v>
      </c>
      <c r="D283" s="7" t="s">
        <v>720</v>
      </c>
      <c r="E283" s="7" t="s">
        <v>721</v>
      </c>
      <c r="F283" s="7" t="s">
        <v>30</v>
      </c>
      <c r="G283" s="7" t="s">
        <v>37</v>
      </c>
    </row>
    <row r="284" spans="1:7" ht="11.25">
      <c r="A284" s="4">
        <f>DATE(2025,4,13)+TIME(16,9,40)</f>
        <v>45760.67337962963</v>
      </c>
      <c r="B284" s="8" t="s">
        <v>33</v>
      </c>
      <c r="C284" s="8" t="s">
        <v>722</v>
      </c>
      <c r="D284" s="8" t="s">
        <v>723</v>
      </c>
      <c r="E284" s="8" t="s">
        <v>724</v>
      </c>
      <c r="F284" s="8" t="s">
        <v>26</v>
      </c>
      <c r="G284" s="8" t="s">
        <v>37</v>
      </c>
    </row>
    <row r="285" spans="1:7" ht="11.25">
      <c r="A285" s="2">
        <f>DATE(2025,4,11)+TIME(17,46,45)</f>
        <v>45758.740798611114</v>
      </c>
      <c r="B285" s="7" t="s">
        <v>33</v>
      </c>
      <c r="C285" s="7" t="s">
        <v>725</v>
      </c>
      <c r="D285" s="7" t="s">
        <v>726</v>
      </c>
      <c r="E285" s="7" t="s">
        <v>46</v>
      </c>
      <c r="F285" s="7" t="s">
        <v>28</v>
      </c>
      <c r="G285" s="7" t="s">
        <v>37</v>
      </c>
    </row>
    <row r="286" spans="1:7" ht="11.25">
      <c r="A286" s="4">
        <f>DATE(2025,4,10)+TIME(11,39,49)</f>
        <v>45757.485983796294</v>
      </c>
      <c r="B286" s="8" t="s">
        <v>33</v>
      </c>
      <c r="C286" s="8" t="s">
        <v>727</v>
      </c>
      <c r="D286" s="8" t="s">
        <v>728</v>
      </c>
      <c r="E286" s="8" t="s">
        <v>97</v>
      </c>
      <c r="F286" s="8" t="s">
        <v>28</v>
      </c>
      <c r="G286" s="8" t="s">
        <v>37</v>
      </c>
    </row>
    <row r="287" spans="1:7" ht="11.25">
      <c r="A287" s="2">
        <f>DATE(2025,4,11)+TIME(14,17,6)</f>
        <v>45758.59520833333</v>
      </c>
      <c r="B287" s="7" t="s">
        <v>33</v>
      </c>
      <c r="C287" s="7" t="s">
        <v>729</v>
      </c>
      <c r="D287" s="7" t="s">
        <v>730</v>
      </c>
      <c r="E287" s="7" t="s">
        <v>46</v>
      </c>
      <c r="F287" s="7" t="s">
        <v>25</v>
      </c>
      <c r="G287" s="7" t="s">
        <v>37</v>
      </c>
    </row>
    <row r="288" spans="1:7" ht="11.25">
      <c r="A288" s="4">
        <f>DATE(2025,1,23)+TIME(9,1,57)</f>
        <v>45680.37635416666</v>
      </c>
      <c r="B288" s="8" t="s">
        <v>33</v>
      </c>
      <c r="C288" s="8" t="s">
        <v>731</v>
      </c>
      <c r="D288" s="8" t="s">
        <v>732</v>
      </c>
      <c r="E288" s="8" t="s">
        <v>733</v>
      </c>
      <c r="F288" s="8" t="s">
        <v>25</v>
      </c>
      <c r="G288" s="8" t="s">
        <v>37</v>
      </c>
    </row>
    <row r="289" spans="1:7" ht="11.25">
      <c r="A289" s="2">
        <f>DATE(2025,4,10)+TIME(11,44,14)</f>
        <v>45757.48905092593</v>
      </c>
      <c r="B289" s="7" t="s">
        <v>33</v>
      </c>
      <c r="C289" s="7" t="s">
        <v>734</v>
      </c>
      <c r="D289" s="7" t="s">
        <v>735</v>
      </c>
      <c r="E289" s="7" t="s">
        <v>97</v>
      </c>
      <c r="F289" s="7" t="s">
        <v>28</v>
      </c>
      <c r="G289" s="7" t="s">
        <v>37</v>
      </c>
    </row>
    <row r="290" spans="1:7" ht="11.25">
      <c r="A290" s="4">
        <f>DATE(2025,2,5)+TIME(0,36,44)</f>
        <v>45693.025509259256</v>
      </c>
      <c r="B290" s="8" t="s">
        <v>33</v>
      </c>
      <c r="C290" s="8" t="s">
        <v>736</v>
      </c>
      <c r="D290" s="8" t="s">
        <v>737</v>
      </c>
      <c r="E290" s="8" t="s">
        <v>738</v>
      </c>
      <c r="F290" s="8" t="s">
        <v>23</v>
      </c>
      <c r="G290" s="8" t="s">
        <v>37</v>
      </c>
    </row>
    <row r="291" spans="1:7" ht="11.25">
      <c r="A291" s="2">
        <f>DATE(2025,2,27)+TIME(18,13,3)</f>
        <v>45715.7590625</v>
      </c>
      <c r="B291" s="7" t="s">
        <v>33</v>
      </c>
      <c r="C291" s="7" t="s">
        <v>152</v>
      </c>
      <c r="D291" s="7" t="s">
        <v>739</v>
      </c>
      <c r="E291" s="7" t="s">
        <v>740</v>
      </c>
      <c r="F291" s="7" t="s">
        <v>29</v>
      </c>
      <c r="G291" s="7" t="s">
        <v>37</v>
      </c>
    </row>
    <row r="292" spans="1:7" ht="11.25">
      <c r="A292" s="4">
        <f>DATE(2025,3,21)+TIME(9,48,52)</f>
        <v>45737.40893518519</v>
      </c>
      <c r="B292" s="8" t="s">
        <v>33</v>
      </c>
      <c r="C292" s="8" t="s">
        <v>741</v>
      </c>
      <c r="D292" s="8" t="s">
        <v>742</v>
      </c>
      <c r="E292" s="8" t="s">
        <v>743</v>
      </c>
      <c r="F292" s="8" t="s">
        <v>28</v>
      </c>
      <c r="G292" s="8" t="s">
        <v>37</v>
      </c>
    </row>
    <row r="293" spans="1:7" ht="11.25">
      <c r="A293" s="2">
        <f>DATE(2025,4,3)+TIME(16,16,6)</f>
        <v>45750.67784722222</v>
      </c>
      <c r="B293" s="7" t="s">
        <v>33</v>
      </c>
      <c r="C293" s="7" t="s">
        <v>402</v>
      </c>
      <c r="D293" s="7" t="s">
        <v>744</v>
      </c>
      <c r="E293" s="7" t="s">
        <v>745</v>
      </c>
      <c r="F293" s="7" t="s">
        <v>29</v>
      </c>
      <c r="G293" s="7" t="s">
        <v>37</v>
      </c>
    </row>
    <row r="294" spans="1:7" ht="11.25">
      <c r="A294" s="4">
        <f>DATE(2024,11,20)+TIME(8,27,59)</f>
        <v>45616.3527662037</v>
      </c>
      <c r="B294" s="8" t="s">
        <v>33</v>
      </c>
      <c r="C294" s="8" t="s">
        <v>746</v>
      </c>
      <c r="D294" s="8" t="s">
        <v>747</v>
      </c>
      <c r="E294" s="8" t="s">
        <v>414</v>
      </c>
      <c r="F294" s="8" t="s">
        <v>27</v>
      </c>
      <c r="G294" s="8" t="s">
        <v>37</v>
      </c>
    </row>
    <row r="295" spans="1:7" ht="11.25">
      <c r="A295" s="2">
        <f>DATE(2025,4,11)+TIME(16,56,0)</f>
        <v>45758.705555555556</v>
      </c>
      <c r="B295" s="7" t="s">
        <v>33</v>
      </c>
      <c r="C295" s="7" t="s">
        <v>748</v>
      </c>
      <c r="D295" s="7" t="s">
        <v>749</v>
      </c>
      <c r="E295" s="7" t="s">
        <v>750</v>
      </c>
      <c r="F295" s="7" t="s">
        <v>26</v>
      </c>
      <c r="G295" s="7" t="s">
        <v>37</v>
      </c>
    </row>
    <row r="296" spans="1:7" ht="11.25">
      <c r="A296" s="4">
        <f>DATE(2025,4,8)+TIME(12,7,1)</f>
        <v>45755.50487268518</v>
      </c>
      <c r="B296" s="8" t="s">
        <v>33</v>
      </c>
      <c r="C296" s="8" t="s">
        <v>751</v>
      </c>
      <c r="D296" s="8" t="s">
        <v>752</v>
      </c>
      <c r="E296" s="8" t="s">
        <v>753</v>
      </c>
      <c r="F296" s="8" t="s">
        <v>27</v>
      </c>
      <c r="G296" s="8" t="s">
        <v>37</v>
      </c>
    </row>
    <row r="297" spans="1:7" ht="11.25">
      <c r="A297" s="2">
        <f>DATE(2025,4,1)+TIME(11,48,32)</f>
        <v>45748.49203703704</v>
      </c>
      <c r="B297" s="7" t="s">
        <v>33</v>
      </c>
      <c r="C297" s="7" t="s">
        <v>754</v>
      </c>
      <c r="D297" s="7" t="s">
        <v>755</v>
      </c>
      <c r="E297" s="7" t="s">
        <v>46</v>
      </c>
      <c r="F297" s="7" t="s">
        <v>28</v>
      </c>
      <c r="G297" s="7" t="s">
        <v>37</v>
      </c>
    </row>
    <row r="298" spans="1:7" ht="11.25">
      <c r="A298" s="4">
        <f>DATE(2025,3,21)+TIME(12,47,1)</f>
        <v>45737.53265046296</v>
      </c>
      <c r="B298" s="8" t="s">
        <v>33</v>
      </c>
      <c r="C298" s="8" t="s">
        <v>756</v>
      </c>
      <c r="D298" s="8" t="s">
        <v>757</v>
      </c>
      <c r="E298" s="8" t="s">
        <v>560</v>
      </c>
      <c r="F298" s="8" t="s">
        <v>24</v>
      </c>
      <c r="G298" s="8" t="s">
        <v>37</v>
      </c>
    </row>
    <row r="299" spans="1:7" ht="11.25">
      <c r="A299" s="2">
        <f>DATE(2024,11,20)+TIME(11,28,46)</f>
        <v>45616.478310185186</v>
      </c>
      <c r="B299" s="7" t="s">
        <v>33</v>
      </c>
      <c r="C299" s="7" t="s">
        <v>402</v>
      </c>
      <c r="D299" s="7" t="s">
        <v>758</v>
      </c>
      <c r="E299" s="7" t="s">
        <v>759</v>
      </c>
      <c r="F299" s="7" t="s">
        <v>27</v>
      </c>
      <c r="G299" s="7" t="s">
        <v>37</v>
      </c>
    </row>
    <row r="300" spans="1:7" ht="11.25">
      <c r="A300" s="4">
        <f>DATE(2025,2,27)+TIME(11,36,28)</f>
        <v>45715.48365740741</v>
      </c>
      <c r="B300" s="8" t="s">
        <v>33</v>
      </c>
      <c r="C300" s="8" t="s">
        <v>760</v>
      </c>
      <c r="D300" s="8" t="s">
        <v>395</v>
      </c>
      <c r="E300" s="8" t="s">
        <v>40</v>
      </c>
      <c r="F300" s="8" t="s">
        <v>24</v>
      </c>
      <c r="G300" s="8" t="s">
        <v>37</v>
      </c>
    </row>
    <row r="301" spans="1:7" ht="11.25">
      <c r="A301" s="2">
        <f>DATE(2025,4,9)+TIME(17,27,29)</f>
        <v>45756.72741898148</v>
      </c>
      <c r="B301" s="7" t="s">
        <v>33</v>
      </c>
      <c r="C301" s="7" t="s">
        <v>761</v>
      </c>
      <c r="D301" s="7" t="s">
        <v>762</v>
      </c>
      <c r="E301" s="7" t="s">
        <v>46</v>
      </c>
      <c r="F301" s="7" t="s">
        <v>25</v>
      </c>
      <c r="G301" s="7" t="s">
        <v>37</v>
      </c>
    </row>
    <row r="302" spans="1:7" ht="11.25">
      <c r="A302" s="4">
        <f>DATE(2025,4,14)+TIME(11,55,7)</f>
        <v>45761.4966087963</v>
      </c>
      <c r="B302" s="8" t="s">
        <v>33</v>
      </c>
      <c r="C302" s="8" t="s">
        <v>435</v>
      </c>
      <c r="D302" s="8" t="s">
        <v>436</v>
      </c>
      <c r="E302" s="8" t="s">
        <v>437</v>
      </c>
      <c r="F302" s="8" t="s">
        <v>26</v>
      </c>
      <c r="G302" s="8" t="s">
        <v>37</v>
      </c>
    </row>
    <row r="303" spans="1:7" ht="11.25">
      <c r="A303" s="2">
        <f>DATE(2025,1,31)+TIME(14,15,42)</f>
        <v>45688.59423611111</v>
      </c>
      <c r="B303" s="7" t="s">
        <v>33</v>
      </c>
      <c r="C303" s="7" t="s">
        <v>763</v>
      </c>
      <c r="D303" s="7" t="s">
        <v>764</v>
      </c>
      <c r="E303" s="7" t="s">
        <v>765</v>
      </c>
      <c r="F303" s="7" t="s">
        <v>24</v>
      </c>
      <c r="G303" s="7" t="s">
        <v>37</v>
      </c>
    </row>
    <row r="304" spans="1:7" ht="11.25">
      <c r="A304" s="4">
        <f>DATE(2025,1,27)+TIME(10,21,53)</f>
        <v>45684.431863425925</v>
      </c>
      <c r="B304" s="8" t="s">
        <v>33</v>
      </c>
      <c r="C304" s="8" t="s">
        <v>766</v>
      </c>
      <c r="D304" s="8" t="s">
        <v>767</v>
      </c>
      <c r="E304" s="8" t="s">
        <v>768</v>
      </c>
      <c r="F304" s="8" t="s">
        <v>24</v>
      </c>
      <c r="G304" s="8" t="s">
        <v>37</v>
      </c>
    </row>
    <row r="305" spans="1:7" ht="11.25">
      <c r="A305" s="2">
        <f>DATE(2025,4,16)+TIME(0,32,31)</f>
        <v>45763.02258101852</v>
      </c>
      <c r="B305" s="7" t="s">
        <v>33</v>
      </c>
      <c r="C305" s="7" t="s">
        <v>769</v>
      </c>
      <c r="D305" s="7" t="s">
        <v>770</v>
      </c>
      <c r="E305" s="7" t="s">
        <v>771</v>
      </c>
      <c r="F305" s="7" t="s">
        <v>23</v>
      </c>
      <c r="G305" s="7" t="s">
        <v>37</v>
      </c>
    </row>
    <row r="306" spans="1:7" ht="11.25">
      <c r="A306" s="4">
        <f>DATE(2025,3,14)+TIME(11,3,25)</f>
        <v>45730.460706018515</v>
      </c>
      <c r="B306" s="8" t="s">
        <v>33</v>
      </c>
      <c r="C306" s="8" t="s">
        <v>772</v>
      </c>
      <c r="D306" s="8" t="s">
        <v>773</v>
      </c>
      <c r="E306" s="8" t="s">
        <v>774</v>
      </c>
      <c r="F306" s="8" t="s">
        <v>23</v>
      </c>
      <c r="G306" s="8" t="s">
        <v>37</v>
      </c>
    </row>
    <row r="307" spans="1:7" ht="11.25">
      <c r="A307" s="2">
        <f>DATE(2025,4,14)+TIME(17,15,40)</f>
        <v>45761.71921296296</v>
      </c>
      <c r="B307" s="7" t="s">
        <v>33</v>
      </c>
      <c r="C307" s="7" t="s">
        <v>775</v>
      </c>
      <c r="D307" s="7" t="s">
        <v>776</v>
      </c>
      <c r="E307" s="7" t="s">
        <v>51</v>
      </c>
      <c r="F307" s="7" t="s">
        <v>26</v>
      </c>
      <c r="G307" s="7" t="s">
        <v>37</v>
      </c>
    </row>
    <row r="308" spans="1:7" ht="11.25">
      <c r="A308" s="4">
        <f>DATE(2025,4,13)+TIME(16,40,6)</f>
        <v>45760.69451388889</v>
      </c>
      <c r="B308" s="8" t="s">
        <v>33</v>
      </c>
      <c r="C308" s="8" t="s">
        <v>777</v>
      </c>
      <c r="D308" s="8" t="s">
        <v>778</v>
      </c>
      <c r="E308" s="8" t="s">
        <v>779</v>
      </c>
      <c r="F308" s="8" t="s">
        <v>26</v>
      </c>
      <c r="G308" s="8" t="s">
        <v>37</v>
      </c>
    </row>
    <row r="309" spans="1:7" ht="11.25">
      <c r="A309" s="2">
        <f>DATE(2025,3,3)+TIME(15,33,0)</f>
        <v>45719.64791666667</v>
      </c>
      <c r="B309" s="7" t="s">
        <v>33</v>
      </c>
      <c r="C309" s="7" t="s">
        <v>780</v>
      </c>
      <c r="D309" s="7" t="s">
        <v>781</v>
      </c>
      <c r="E309" s="7" t="s">
        <v>188</v>
      </c>
      <c r="F309" s="7" t="s">
        <v>25</v>
      </c>
      <c r="G309" s="7" t="s">
        <v>37</v>
      </c>
    </row>
    <row r="310" spans="1:7" ht="11.25">
      <c r="A310" s="4">
        <f>DATE(2024,12,30)+TIME(0,18,33)</f>
        <v>45656.01288194444</v>
      </c>
      <c r="B310" s="8" t="s">
        <v>33</v>
      </c>
      <c r="C310" s="8" t="s">
        <v>782</v>
      </c>
      <c r="D310" s="8" t="s">
        <v>783</v>
      </c>
      <c r="E310" s="8" t="s">
        <v>784</v>
      </c>
      <c r="F310" s="8" t="s">
        <v>24</v>
      </c>
      <c r="G310" s="8" t="s">
        <v>37</v>
      </c>
    </row>
    <row r="311" spans="1:7" ht="11.25">
      <c r="A311" s="2">
        <f>DATE(2025,2,28)+TIME(9,1,6)</f>
        <v>45716.375763888886</v>
      </c>
      <c r="B311" s="7" t="s">
        <v>33</v>
      </c>
      <c r="C311" s="7" t="s">
        <v>785</v>
      </c>
      <c r="D311" s="7" t="s">
        <v>786</v>
      </c>
      <c r="E311" s="7" t="s">
        <v>100</v>
      </c>
      <c r="F311" s="7" t="s">
        <v>28</v>
      </c>
      <c r="G311" s="7" t="s">
        <v>37</v>
      </c>
    </row>
    <row r="312" spans="1:7" ht="11.25">
      <c r="A312" s="4">
        <f>DATE(2025,2,25)+TIME(14,55,27)</f>
        <v>45713.62184027778</v>
      </c>
      <c r="B312" s="8" t="s">
        <v>33</v>
      </c>
      <c r="C312" s="8" t="s">
        <v>787</v>
      </c>
      <c r="D312" s="8" t="s">
        <v>788</v>
      </c>
      <c r="E312" s="8" t="s">
        <v>46</v>
      </c>
      <c r="F312" s="8" t="s">
        <v>25</v>
      </c>
      <c r="G312" s="8" t="s">
        <v>37</v>
      </c>
    </row>
    <row r="313" spans="1:7" ht="11.25">
      <c r="A313" s="2">
        <f>DATE(2025,3,26)+TIME(10,44,25)</f>
        <v>45742.44751157407</v>
      </c>
      <c r="B313" s="7" t="s">
        <v>33</v>
      </c>
      <c r="C313" s="7" t="s">
        <v>789</v>
      </c>
      <c r="D313" s="7" t="s">
        <v>790</v>
      </c>
      <c r="E313" s="7" t="s">
        <v>791</v>
      </c>
      <c r="F313" s="7" t="s">
        <v>23</v>
      </c>
      <c r="G313" s="7" t="s">
        <v>37</v>
      </c>
    </row>
    <row r="314" spans="1:7" ht="11.25">
      <c r="A314" s="4">
        <f>DATE(2025,3,31)+TIME(5,40,3)</f>
        <v>45747.23614583333</v>
      </c>
      <c r="B314" s="8" t="s">
        <v>33</v>
      </c>
      <c r="C314" s="8" t="s">
        <v>531</v>
      </c>
      <c r="D314" s="8" t="s">
        <v>792</v>
      </c>
      <c r="E314" s="8" t="s">
        <v>793</v>
      </c>
      <c r="F314" s="8" t="s">
        <v>26</v>
      </c>
      <c r="G314" s="8" t="s">
        <v>37</v>
      </c>
    </row>
    <row r="315" spans="1:7" ht="11.25">
      <c r="A315" s="2">
        <f>DATE(2025,4,3)+TIME(15,6,7)</f>
        <v>45750.62924768519</v>
      </c>
      <c r="B315" s="7" t="s">
        <v>33</v>
      </c>
      <c r="C315" s="7" t="s">
        <v>404</v>
      </c>
      <c r="D315" s="7" t="s">
        <v>794</v>
      </c>
      <c r="E315" s="7" t="s">
        <v>185</v>
      </c>
      <c r="F315" s="7" t="s">
        <v>24</v>
      </c>
      <c r="G315" s="7" t="s">
        <v>37</v>
      </c>
    </row>
    <row r="316" spans="1:7" ht="11.25">
      <c r="A316" s="4">
        <f>DATE(2025,4,4)+TIME(8,21,20)</f>
        <v>45751.34814814815</v>
      </c>
      <c r="B316" s="8" t="s">
        <v>33</v>
      </c>
      <c r="C316" s="8" t="s">
        <v>795</v>
      </c>
      <c r="D316" s="8" t="s">
        <v>796</v>
      </c>
      <c r="E316" s="8" t="s">
        <v>166</v>
      </c>
      <c r="F316" s="8" t="s">
        <v>24</v>
      </c>
      <c r="G316" s="8" t="s">
        <v>37</v>
      </c>
    </row>
    <row r="317" spans="1:7" ht="11.25">
      <c r="A317" s="2">
        <f>DATE(2025,3,2)+TIME(15,35,5)</f>
        <v>45718.649363425924</v>
      </c>
      <c r="B317" s="7" t="s">
        <v>33</v>
      </c>
      <c r="C317" s="7" t="s">
        <v>797</v>
      </c>
      <c r="D317" s="7" t="s">
        <v>798</v>
      </c>
      <c r="E317" s="7" t="s">
        <v>703</v>
      </c>
      <c r="F317" s="7" t="s">
        <v>24</v>
      </c>
      <c r="G317" s="7" t="s">
        <v>37</v>
      </c>
    </row>
    <row r="318" spans="1:7" ht="11.25">
      <c r="A318" s="4">
        <f>DATE(2025,3,3)+TIME(17,26,29)</f>
        <v>45719.72672453704</v>
      </c>
      <c r="B318" s="8" t="s">
        <v>33</v>
      </c>
      <c r="C318" s="8" t="s">
        <v>799</v>
      </c>
      <c r="D318" s="8" t="s">
        <v>800</v>
      </c>
      <c r="E318" s="8" t="s">
        <v>46</v>
      </c>
      <c r="F318" s="8" t="s">
        <v>25</v>
      </c>
      <c r="G318" s="8" t="s">
        <v>37</v>
      </c>
    </row>
    <row r="319" spans="1:7" ht="11.25">
      <c r="A319" s="2">
        <f>DATE(2025,4,12)+TIME(15,17,0)</f>
        <v>45759.63680555556</v>
      </c>
      <c r="B319" s="7" t="s">
        <v>33</v>
      </c>
      <c r="C319" s="7" t="s">
        <v>801</v>
      </c>
      <c r="D319" s="7" t="s">
        <v>802</v>
      </c>
      <c r="E319" s="7" t="s">
        <v>803</v>
      </c>
      <c r="F319" s="7" t="s">
        <v>26</v>
      </c>
      <c r="G319" s="7" t="s">
        <v>37</v>
      </c>
    </row>
    <row r="320" spans="1:7" ht="11.25">
      <c r="A320" s="4">
        <f>DATE(2025,4,7)+TIME(16,50,30)</f>
        <v>45754.701736111114</v>
      </c>
      <c r="B320" s="8" t="s">
        <v>33</v>
      </c>
      <c r="C320" s="8" t="s">
        <v>804</v>
      </c>
      <c r="D320" s="8" t="s">
        <v>805</v>
      </c>
      <c r="E320" s="8" t="s">
        <v>806</v>
      </c>
      <c r="F320" s="8" t="s">
        <v>24</v>
      </c>
      <c r="G320" s="8" t="s">
        <v>37</v>
      </c>
    </row>
    <row r="321" spans="1:7" ht="11.25">
      <c r="A321" s="2">
        <f>DATE(2025,3,24)+TIME(15,49,55)</f>
        <v>45740.65966435185</v>
      </c>
      <c r="B321" s="7" t="s">
        <v>33</v>
      </c>
      <c r="C321" s="7" t="s">
        <v>807</v>
      </c>
      <c r="D321" s="7" t="s">
        <v>291</v>
      </c>
      <c r="E321" s="7" t="s">
        <v>808</v>
      </c>
      <c r="F321" s="7" t="s">
        <v>23</v>
      </c>
      <c r="G321" s="7" t="s">
        <v>37</v>
      </c>
    </row>
    <row r="322" spans="1:7" ht="11.25">
      <c r="A322" s="4">
        <f>DATE(2025,3,3)+TIME(17,58,12)</f>
        <v>45719.74875</v>
      </c>
      <c r="B322" s="8" t="s">
        <v>33</v>
      </c>
      <c r="C322" s="8" t="s">
        <v>281</v>
      </c>
      <c r="D322" s="8" t="s">
        <v>809</v>
      </c>
      <c r="E322" s="8" t="s">
        <v>810</v>
      </c>
      <c r="F322" s="8" t="s">
        <v>25</v>
      </c>
      <c r="G322" s="8" t="s">
        <v>37</v>
      </c>
    </row>
    <row r="323" spans="1:7" ht="11.25">
      <c r="A323" s="2">
        <f>DATE(2025,3,20)+TIME(19,1,17)</f>
        <v>45736.79255787037</v>
      </c>
      <c r="B323" s="7" t="s">
        <v>33</v>
      </c>
      <c r="C323" s="7" t="s">
        <v>811</v>
      </c>
      <c r="D323" s="7" t="s">
        <v>812</v>
      </c>
      <c r="E323" s="7" t="s">
        <v>813</v>
      </c>
      <c r="F323" s="7" t="s">
        <v>24</v>
      </c>
      <c r="G323" s="7" t="s">
        <v>37</v>
      </c>
    </row>
    <row r="324" spans="1:7" ht="11.25">
      <c r="A324" s="4">
        <f>DATE(2025,4,13)+TIME(17,1,46)</f>
        <v>45760.70956018518</v>
      </c>
      <c r="B324" s="8" t="s">
        <v>33</v>
      </c>
      <c r="C324" s="8" t="s">
        <v>164</v>
      </c>
      <c r="D324" s="8" t="s">
        <v>814</v>
      </c>
      <c r="E324" s="8" t="s">
        <v>377</v>
      </c>
      <c r="F324" s="8" t="s">
        <v>26</v>
      </c>
      <c r="G324" s="8" t="s">
        <v>37</v>
      </c>
    </row>
    <row r="325" spans="1:7" ht="11.25">
      <c r="A325" s="2">
        <f>DATE(2025,4,17)+TIME(2,24,18)</f>
        <v>45764.10020833334</v>
      </c>
      <c r="B325" s="7" t="s">
        <v>33</v>
      </c>
      <c r="C325" s="7" t="s">
        <v>815</v>
      </c>
      <c r="D325" s="7" t="s">
        <v>816</v>
      </c>
      <c r="E325" s="7" t="s">
        <v>612</v>
      </c>
      <c r="F325" s="7" t="s">
        <v>23</v>
      </c>
      <c r="G325" s="7" t="s">
        <v>37</v>
      </c>
    </row>
    <row r="326" spans="1:7" ht="11.25">
      <c r="A326" s="4">
        <f>DATE(2025,4,13)+TIME(16,16,40)</f>
        <v>45760.67824074074</v>
      </c>
      <c r="B326" s="8" t="s">
        <v>33</v>
      </c>
      <c r="C326" s="8" t="s">
        <v>817</v>
      </c>
      <c r="D326" s="8" t="s">
        <v>818</v>
      </c>
      <c r="E326" s="8" t="s">
        <v>280</v>
      </c>
      <c r="F326" s="8" t="s">
        <v>26</v>
      </c>
      <c r="G326" s="8" t="s">
        <v>37</v>
      </c>
    </row>
    <row r="327" spans="1:7" ht="11.25">
      <c r="A327" s="2">
        <f>DATE(2025,2,21)+TIME(14,37,40)</f>
        <v>45709.60949074074</v>
      </c>
      <c r="B327" s="7" t="s">
        <v>33</v>
      </c>
      <c r="C327" s="7" t="s">
        <v>819</v>
      </c>
      <c r="D327" s="7" t="s">
        <v>820</v>
      </c>
      <c r="E327" s="7" t="s">
        <v>124</v>
      </c>
      <c r="F327" s="7" t="s">
        <v>23</v>
      </c>
      <c r="G327" s="7" t="s">
        <v>37</v>
      </c>
    </row>
    <row r="328" spans="1:7" ht="11.25">
      <c r="A328" s="4">
        <f>DATE(2025,2,28)+TIME(15,26,2)</f>
        <v>45716.6430787037</v>
      </c>
      <c r="B328" s="8" t="s">
        <v>33</v>
      </c>
      <c r="C328" s="8" t="s">
        <v>821</v>
      </c>
      <c r="D328" s="8" t="s">
        <v>822</v>
      </c>
      <c r="E328" s="8" t="s">
        <v>46</v>
      </c>
      <c r="F328" s="8" t="s">
        <v>25</v>
      </c>
      <c r="G328" s="8" t="s">
        <v>37</v>
      </c>
    </row>
    <row r="329" spans="1:7" ht="11.25">
      <c r="A329" s="2">
        <f>DATE(2025,3,5)+TIME(8,40,54)</f>
        <v>45721.36173611111</v>
      </c>
      <c r="B329" s="7" t="s">
        <v>33</v>
      </c>
      <c r="C329" s="7" t="s">
        <v>823</v>
      </c>
      <c r="D329" s="7" t="s">
        <v>824</v>
      </c>
      <c r="E329" s="7" t="s">
        <v>825</v>
      </c>
      <c r="F329" s="7" t="s">
        <v>27</v>
      </c>
      <c r="G329" s="7" t="s">
        <v>37</v>
      </c>
    </row>
    <row r="330" spans="1:7" ht="11.25">
      <c r="A330" s="4">
        <f>DATE(2025,4,14)+TIME(21,45,15)</f>
        <v>45761.90642361111</v>
      </c>
      <c r="B330" s="8" t="s">
        <v>33</v>
      </c>
      <c r="C330" s="8" t="s">
        <v>826</v>
      </c>
      <c r="D330" s="8" t="s">
        <v>679</v>
      </c>
      <c r="E330" s="8" t="s">
        <v>51</v>
      </c>
      <c r="F330" s="8" t="s">
        <v>26</v>
      </c>
      <c r="G330" s="8" t="s">
        <v>37</v>
      </c>
    </row>
    <row r="331" spans="1:7" ht="11.25">
      <c r="A331" s="2">
        <f>DATE(2025,4,10)+TIME(14,33,52)</f>
        <v>45757.60685185185</v>
      </c>
      <c r="B331" s="7" t="s">
        <v>33</v>
      </c>
      <c r="C331" s="7" t="s">
        <v>827</v>
      </c>
      <c r="D331" s="7" t="s">
        <v>828</v>
      </c>
      <c r="E331" s="7" t="s">
        <v>829</v>
      </c>
      <c r="F331" s="7" t="s">
        <v>28</v>
      </c>
      <c r="G331" s="7" t="s">
        <v>37</v>
      </c>
    </row>
    <row r="332" spans="1:7" ht="11.25">
      <c r="A332" s="4">
        <f>DATE(2025,3,14)+TIME(19,39,23)</f>
        <v>45730.819016203706</v>
      </c>
      <c r="B332" s="8" t="s">
        <v>33</v>
      </c>
      <c r="C332" s="8" t="s">
        <v>830</v>
      </c>
      <c r="D332" s="8" t="s">
        <v>831</v>
      </c>
      <c r="E332" s="8" t="s">
        <v>832</v>
      </c>
      <c r="F332" s="8" t="s">
        <v>23</v>
      </c>
      <c r="G332" s="8" t="s">
        <v>37</v>
      </c>
    </row>
    <row r="333" spans="1:7" ht="11.25">
      <c r="A333" s="2">
        <f>DATE(2024,11,22)+TIME(9,40,46)</f>
        <v>45618.40331018518</v>
      </c>
      <c r="B333" s="7" t="s">
        <v>33</v>
      </c>
      <c r="C333" s="7" t="s">
        <v>502</v>
      </c>
      <c r="D333" s="7" t="s">
        <v>833</v>
      </c>
      <c r="E333" s="7" t="s">
        <v>124</v>
      </c>
      <c r="F333" s="7" t="s">
        <v>27</v>
      </c>
      <c r="G333" s="7" t="s">
        <v>37</v>
      </c>
    </row>
    <row r="334" spans="1:7" ht="11.25">
      <c r="A334" s="4">
        <f>DATE(2024,11,21)+TIME(16,0,19)</f>
        <v>45617.66688657407</v>
      </c>
      <c r="B334" s="8" t="s">
        <v>33</v>
      </c>
      <c r="C334" s="8" t="s">
        <v>834</v>
      </c>
      <c r="D334" s="8" t="s">
        <v>835</v>
      </c>
      <c r="E334" s="8" t="s">
        <v>188</v>
      </c>
      <c r="F334" s="8" t="s">
        <v>27</v>
      </c>
      <c r="G334" s="8" t="s">
        <v>37</v>
      </c>
    </row>
    <row r="335" spans="1:7" ht="11.25">
      <c r="A335" s="2">
        <f>DATE(2025,3,22)+TIME(14,27,19)</f>
        <v>45738.60230324074</v>
      </c>
      <c r="B335" s="7" t="s">
        <v>33</v>
      </c>
      <c r="C335" s="7" t="s">
        <v>836</v>
      </c>
      <c r="D335" s="7" t="s">
        <v>837</v>
      </c>
      <c r="E335" s="7" t="s">
        <v>838</v>
      </c>
      <c r="F335" s="7" t="s">
        <v>29</v>
      </c>
      <c r="G335" s="7" t="s">
        <v>37</v>
      </c>
    </row>
    <row r="336" spans="1:7" ht="11.25">
      <c r="A336" s="4">
        <f>DATE(2025,3,6)+TIME(13,35,26)</f>
        <v>45722.56627314815</v>
      </c>
      <c r="B336" s="8" t="s">
        <v>33</v>
      </c>
      <c r="C336" s="8" t="s">
        <v>839</v>
      </c>
      <c r="D336" s="8" t="s">
        <v>840</v>
      </c>
      <c r="E336" s="8" t="s">
        <v>841</v>
      </c>
      <c r="F336" s="8" t="s">
        <v>24</v>
      </c>
      <c r="G336" s="8" t="s">
        <v>37</v>
      </c>
    </row>
    <row r="337" spans="1:7" ht="11.25">
      <c r="A337" s="2">
        <f>DATE(2025,2,21)+TIME(16,29,37)</f>
        <v>45709.6872337963</v>
      </c>
      <c r="B337" s="7" t="s">
        <v>33</v>
      </c>
      <c r="C337" s="7" t="s">
        <v>561</v>
      </c>
      <c r="D337" s="7" t="s">
        <v>842</v>
      </c>
      <c r="E337" s="7" t="s">
        <v>40</v>
      </c>
      <c r="F337" s="7" t="s">
        <v>24</v>
      </c>
      <c r="G337" s="7" t="s">
        <v>37</v>
      </c>
    </row>
    <row r="338" spans="1:7" ht="11.25">
      <c r="A338" s="4">
        <f>DATE(2025,4,12)+TIME(15,6,46)</f>
        <v>45759.629699074074</v>
      </c>
      <c r="B338" s="8" t="s">
        <v>33</v>
      </c>
      <c r="C338" s="8" t="s">
        <v>843</v>
      </c>
      <c r="D338" s="8" t="s">
        <v>844</v>
      </c>
      <c r="E338" s="8" t="s">
        <v>845</v>
      </c>
      <c r="F338" s="8" t="s">
        <v>26</v>
      </c>
      <c r="G338" s="8" t="s">
        <v>37</v>
      </c>
    </row>
    <row r="339" spans="1:7" ht="11.25">
      <c r="A339" s="2">
        <f>DATE(2025,4,6)+TIME(14,25,9)</f>
        <v>45753.600798611114</v>
      </c>
      <c r="B339" s="7" t="s">
        <v>33</v>
      </c>
      <c r="C339" s="7" t="s">
        <v>499</v>
      </c>
      <c r="D339" s="7" t="s">
        <v>846</v>
      </c>
      <c r="E339" s="7" t="s">
        <v>847</v>
      </c>
      <c r="F339" s="7" t="s">
        <v>24</v>
      </c>
      <c r="G339" s="7" t="s">
        <v>37</v>
      </c>
    </row>
    <row r="340" spans="1:7" ht="11.25">
      <c r="A340" s="4">
        <f>DATE(2025,4,9)+TIME(14,38,35)</f>
        <v>45756.610127314816</v>
      </c>
      <c r="B340" s="8" t="s">
        <v>33</v>
      </c>
      <c r="C340" s="8" t="s">
        <v>848</v>
      </c>
      <c r="D340" s="8" t="s">
        <v>849</v>
      </c>
      <c r="E340" s="8" t="s">
        <v>46</v>
      </c>
      <c r="F340" s="8" t="s">
        <v>28</v>
      </c>
      <c r="G340" s="8" t="s">
        <v>37</v>
      </c>
    </row>
    <row r="341" spans="1:7" ht="11.25">
      <c r="A341" s="2">
        <f>DATE(2025,3,7)+TIME(12,30,5)</f>
        <v>45723.520891203705</v>
      </c>
      <c r="B341" s="7" t="s">
        <v>33</v>
      </c>
      <c r="C341" s="7" t="s">
        <v>678</v>
      </c>
      <c r="D341" s="7" t="s">
        <v>850</v>
      </c>
      <c r="E341" s="7" t="s">
        <v>46</v>
      </c>
      <c r="F341" s="7" t="s">
        <v>25</v>
      </c>
      <c r="G341" s="7" t="s">
        <v>37</v>
      </c>
    </row>
    <row r="342" spans="1:7" ht="11.25">
      <c r="A342" s="4">
        <f>DATE(2025,2,2)+TIME(1,7,48)</f>
        <v>45690.04708333333</v>
      </c>
      <c r="B342" s="8" t="s">
        <v>33</v>
      </c>
      <c r="C342" s="8" t="s">
        <v>448</v>
      </c>
      <c r="D342" s="8" t="s">
        <v>851</v>
      </c>
      <c r="E342" s="8" t="s">
        <v>852</v>
      </c>
      <c r="F342" s="8" t="s">
        <v>24</v>
      </c>
      <c r="G342" s="8" t="s">
        <v>37</v>
      </c>
    </row>
    <row r="343" spans="1:7" ht="11.25">
      <c r="A343" s="2">
        <f>DATE(2025,2,27)+TIME(15,47,47)</f>
        <v>45715.65818287037</v>
      </c>
      <c r="B343" s="7" t="s">
        <v>33</v>
      </c>
      <c r="C343" s="7" t="s">
        <v>853</v>
      </c>
      <c r="D343" s="7" t="s">
        <v>854</v>
      </c>
      <c r="E343" s="7" t="s">
        <v>46</v>
      </c>
      <c r="F343" s="7" t="s">
        <v>25</v>
      </c>
      <c r="G343" s="7" t="s">
        <v>37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