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bookViews>
    <workbookView xWindow="240" yWindow="120" windowWidth="14940" windowHeight="9225" activeTab="0"/>
  </bookViews>
  <sheets>
    <sheet name="Event Information" sheetId="2" r:id="rId2"/>
    <sheet name="Registration Trend" sheetId="3" r:id="rId3"/>
    <sheet name="Registration Type" sheetId="4" r:id="rId4"/>
    <sheet name="Registrant Details" sheetId="5" r:id="rId5"/>
  </sheets>
  <definedNames/>
  <calcPr fullCalcOnLoad="1"/>
</workbook>
</file>

<file path=xl/sharedStrings.xml><?xml version="1.0" encoding="utf-8"?>
<sst xmlns="http://schemas.openxmlformats.org/spreadsheetml/2006/main" count="2965" uniqueCount="1025">
  <si>
    <t>Back to Table of Contents</t>
  </si>
  <si>
    <t>2024, Week 47</t>
  </si>
  <si>
    <t>2024, Week 48</t>
  </si>
  <si>
    <t>2024, Week 49</t>
  </si>
  <si>
    <t>2024, Week 50</t>
  </si>
  <si>
    <t>2024, Week 51</t>
  </si>
  <si>
    <t>2025, Week 01</t>
  </si>
  <si>
    <t>2025, Week 03</t>
  </si>
  <si>
    <t>2025, Week 04</t>
  </si>
  <si>
    <t>2025, Week 05</t>
  </si>
  <si>
    <t>2025, Week 06</t>
  </si>
  <si>
    <t>2025, Week 07</t>
  </si>
  <si>
    <t>2025, Week 08</t>
  </si>
  <si>
    <t>2025, Week 09</t>
  </si>
  <si>
    <t>2025, Week 10</t>
  </si>
  <si>
    <t>2025, Week 11</t>
  </si>
  <si>
    <t>2025, Week 12</t>
  </si>
  <si>
    <t>2025, Week 13</t>
  </si>
  <si>
    <t>2025, Week 14</t>
  </si>
  <si>
    <t>2025, Week 15</t>
  </si>
  <si>
    <t>2025, Week 16</t>
  </si>
  <si>
    <t>Last Registration Date</t>
  </si>
  <si>
    <t>Registrants</t>
  </si>
  <si>
    <t>General Attendee</t>
  </si>
  <si>
    <t>Speaker</t>
  </si>
  <si>
    <t>DWFI Faculty Fellows or Supported Students</t>
  </si>
  <si>
    <t>DWFI / NWC Staff</t>
  </si>
  <si>
    <t>Higher Ed/NGOs/Government</t>
  </si>
  <si>
    <t>Student or University of Nebraska Faculty / Staff</t>
  </si>
  <si>
    <t>DWFI Advisors</t>
  </si>
  <si>
    <t>Complimentary Admission</t>
  </si>
  <si>
    <t>Virtual Attendee</t>
  </si>
  <si>
    <t>Registration Type</t>
  </si>
  <si>
    <t>Registrant Details</t>
  </si>
  <si>
    <t>Abdalla, Sarah</t>
  </si>
  <si>
    <t>sabdalla2@huskers.unl.edu</t>
  </si>
  <si>
    <t>University of Nebraska Lincoln, DWFIE</t>
  </si>
  <si>
    <t>Invitee</t>
  </si>
  <si>
    <t>USA</t>
  </si>
  <si>
    <t>In Person</t>
  </si>
  <si>
    <t>Yes</t>
  </si>
  <si>
    <t>Abdulazeez, Rislana Kanya</t>
  </si>
  <si>
    <t>rislan@cosmopolitan.edu.ng</t>
  </si>
  <si>
    <t>Cosmopolitan University Abuja</t>
  </si>
  <si>
    <t>Nigeria</t>
  </si>
  <si>
    <t>Adams, Rachel</t>
  </si>
  <si>
    <t>rachel@bemiscenter.org</t>
  </si>
  <si>
    <t>Bemis Center for Contemporary Arts</t>
  </si>
  <si>
    <t>No</t>
  </si>
  <si>
    <t>Aderholdt, William</t>
  </si>
  <si>
    <t>williama@grandfarm.com</t>
  </si>
  <si>
    <t>Grand Farm</t>
  </si>
  <si>
    <t>Adhikari, Madhusudhan</t>
  </si>
  <si>
    <t>madhikari3@huskers.unl.edu</t>
  </si>
  <si>
    <t>University of Nebraska-Lincoln</t>
  </si>
  <si>
    <t>Agbonlahor, Mure</t>
  </si>
  <si>
    <t>agbonlahoru@africa-union.org</t>
  </si>
  <si>
    <t>African Union Commission</t>
  </si>
  <si>
    <t>Burkina Faso</t>
  </si>
  <si>
    <t>Aich, Nirupam</t>
  </si>
  <si>
    <t>nirupam.aich@unl.edu</t>
  </si>
  <si>
    <t>University of Nebraska - Lincoln</t>
  </si>
  <si>
    <t>Ajaz, Ali</t>
  </si>
  <si>
    <t>ali.ajaz@lindsay.com</t>
  </si>
  <si>
    <t>Lindsay Corporation</t>
  </si>
  <si>
    <t>Akasheh, Sammy</t>
  </si>
  <si>
    <t>sammy.akasheh@unl.edu</t>
  </si>
  <si>
    <t>University of Nebraska</t>
  </si>
  <si>
    <t>Al Razaq, Zanib</t>
  </si>
  <si>
    <t>Zalrazaq2@huskers.unl.edu</t>
  </si>
  <si>
    <t>Alayidi, Ahmed</t>
  </si>
  <si>
    <t>aalayidi2@unl.edu</t>
  </si>
  <si>
    <t>Allmon, Christine</t>
  </si>
  <si>
    <t>callmon@unmc.edu</t>
  </si>
  <si>
    <t>UNMC Water Climate &amp; Health Program</t>
  </si>
  <si>
    <t>Aloqaili, Sadeem</t>
  </si>
  <si>
    <t>sadeemhoqaili@gmail.com</t>
  </si>
  <si>
    <t>New Mexico State University</t>
  </si>
  <si>
    <t>Alves da Silva, Marcos Geraldo</t>
  </si>
  <si>
    <t>marcos.alves@sebraemg.com.br</t>
  </si>
  <si>
    <t>SEBRAE Minas Gerais</t>
  </si>
  <si>
    <t>Brazil</t>
  </si>
  <si>
    <t>Alves Machado, Alexandrina</t>
  </si>
  <si>
    <t>alexandrinageologa@hotmail.com</t>
  </si>
  <si>
    <t>PCA Ambiental</t>
  </si>
  <si>
    <t>Alves, Italo</t>
  </si>
  <si>
    <t>italo.alves@kinross.com</t>
  </si>
  <si>
    <t>Kinross Brasil Mineracao</t>
  </si>
  <si>
    <t>Alves, Maria Emilia</t>
  </si>
  <si>
    <t>maria.emilia@embrapa.br</t>
  </si>
  <si>
    <t>Abid</t>
  </si>
  <si>
    <t>Amori, Precious</t>
  </si>
  <si>
    <t>pamori2@huskers.unl.edu</t>
  </si>
  <si>
    <t>Anders, Erin</t>
  </si>
  <si>
    <t>erinjanders710@gmail.com</t>
  </si>
  <si>
    <t>DWFI</t>
  </si>
  <si>
    <t>Uganda</t>
  </si>
  <si>
    <t>Anderson, Ryan</t>
  </si>
  <si>
    <t>randerson13@unl.edu</t>
  </si>
  <si>
    <t>Appelt Martins, Suri</t>
  </si>
  <si>
    <t>melstoll@gmail.com</t>
  </si>
  <si>
    <t>AgroAppelt</t>
  </si>
  <si>
    <t>Appelt, Joice</t>
  </si>
  <si>
    <t>escritorio.appelt@gmail.com</t>
  </si>
  <si>
    <t>IRRIGANOR</t>
  </si>
  <si>
    <t>Araujo Melo, Thalles</t>
  </si>
  <si>
    <t>thallesam@hotmail.com</t>
  </si>
  <si>
    <t>SENAR Agroindustry Program</t>
  </si>
  <si>
    <t>Araujo, Glauciana</t>
  </si>
  <si>
    <t>glaucia.araujo@aiba.org.br</t>
  </si>
  <si>
    <t>AIBA</t>
  </si>
  <si>
    <t>Araz, Ozgur</t>
  </si>
  <si>
    <t>oaraz2@unl.edu</t>
  </si>
  <si>
    <t>Armstrong, Cory</t>
  </si>
  <si>
    <t>cory.armstrong@unl.edu</t>
  </si>
  <si>
    <t>University of Nebraska- Lincoln</t>
  </si>
  <si>
    <t>Ashford, Molly</t>
  </si>
  <si>
    <t>mashford@nebraskapublicmedia.org</t>
  </si>
  <si>
    <t>Nebraska Public Media</t>
  </si>
  <si>
    <t>Atif, Atiqullah</t>
  </si>
  <si>
    <t>aatif2@huskers.unl.edu</t>
  </si>
  <si>
    <t>Awada, Tala</t>
  </si>
  <si>
    <t>tawada@unl.edu</t>
  </si>
  <si>
    <t>UNL</t>
  </si>
  <si>
    <t>Balboa, Guillermo</t>
  </si>
  <si>
    <t>gbalboa7@unl.edu</t>
  </si>
  <si>
    <t>Balschweid, Mark</t>
  </si>
  <si>
    <t>mbalschweid2@unl.edu</t>
  </si>
  <si>
    <t>Banda, Mavuto</t>
  </si>
  <si>
    <t>vuttol@yahoo.co.uk</t>
  </si>
  <si>
    <t>Barron, Jennie</t>
  </si>
  <si>
    <t>jennie.barron@slu.se</t>
  </si>
  <si>
    <t>Swedish University of Agricultural Sciences (SLU)</t>
  </si>
  <si>
    <t>Sweden</t>
  </si>
  <si>
    <t>Bartelt-Hunt, Shannon</t>
  </si>
  <si>
    <t>sbartelt@unl.edu</t>
  </si>
  <si>
    <t>Basche, Andrea</t>
  </si>
  <si>
    <t>abasche2@unl.edu</t>
  </si>
  <si>
    <t>Bay, Mogens</t>
  </si>
  <si>
    <t>bay@valmont.com</t>
  </si>
  <si>
    <t>Valmont Industries, Inc.</t>
  </si>
  <si>
    <t>Beck, Sydney</t>
  </si>
  <si>
    <t>sbeck14@huskers.unl.edu</t>
  </si>
  <si>
    <t>University of Nebraska - Lincoln Office of Research and Innovation</t>
  </si>
  <si>
    <t>Beegum, Sahila</t>
  </si>
  <si>
    <t>sbeegum2@unl.edu</t>
  </si>
  <si>
    <t>Begum, Afruja</t>
  </si>
  <si>
    <t>abegum2@huskers.unl.edu</t>
  </si>
  <si>
    <t>University of Nebraska Lincoln</t>
  </si>
  <si>
    <t>Bell, Jesse</t>
  </si>
  <si>
    <t>jesse.bell@unmc.edu</t>
  </si>
  <si>
    <t>Berkland, Richard</t>
  </si>
  <si>
    <t>rberkland@valmont.com</t>
  </si>
  <si>
    <t>Valmont Irrigation</t>
  </si>
  <si>
    <t>United States Minor Outlying Islands</t>
  </si>
  <si>
    <t>Berthold, Allen</t>
  </si>
  <si>
    <t>taberthold@ag.tamu.edu</t>
  </si>
  <si>
    <t>Texas A&amp;M AgriLife, Texas Water Resources Institute</t>
  </si>
  <si>
    <t>Birru, Girma</t>
  </si>
  <si>
    <t>girma.birru@usda.gov</t>
  </si>
  <si>
    <t>USDA ARS</t>
  </si>
  <si>
    <t>Bispo, Regiane</t>
  </si>
  <si>
    <t>rdecarvalhobispo2@unl.edu</t>
  </si>
  <si>
    <t>UNL/DWFI</t>
  </si>
  <si>
    <t>Blankenau, Daniel</t>
  </si>
  <si>
    <t>dblankenau@corancogreatplains.com</t>
  </si>
  <si>
    <t>CGP, Inc.</t>
  </si>
  <si>
    <t>Bledsoe, Demetrius</t>
  </si>
  <si>
    <t>dbledsoe@fh365.org</t>
  </si>
  <si>
    <t>Fresh Harvest 365, LLC</t>
  </si>
  <si>
    <t>Boddupalli, Prasanna</t>
  </si>
  <si>
    <t>b.m.prasanna@cgiar.org</t>
  </si>
  <si>
    <t>CIMMYT (International Maize and Wheat Improvement Center)</t>
  </si>
  <si>
    <t>India</t>
  </si>
  <si>
    <t>Bodlak, Lexi</t>
  </si>
  <si>
    <t>lbodlak2@huskers.unl.edu</t>
  </si>
  <si>
    <t>Boehm, Mike</t>
  </si>
  <si>
    <t>mboehm3@unl.edu</t>
  </si>
  <si>
    <t>Boldt, Alan</t>
  </si>
  <si>
    <t>aboldt1@unl.edu</t>
  </si>
  <si>
    <t>Bolin, Kimberly</t>
  </si>
  <si>
    <t>kbolin@rockefellerinstitute.org</t>
  </si>
  <si>
    <t>Winthrop Rockefeller Institute</t>
  </si>
  <si>
    <t>Boncompani, Andre</t>
  </si>
  <si>
    <t>andre@icrop.com.br</t>
  </si>
  <si>
    <t>iCrop Irrigation</t>
  </si>
  <si>
    <t>Borges, Jose Mauricio</t>
  </si>
  <si>
    <t>jmb.borges@hotmail.com</t>
  </si>
  <si>
    <t>RENAI Rede Nacional de Irrigantes</t>
  </si>
  <si>
    <t>Boroto, Ruhiza Jean</t>
  </si>
  <si>
    <t>ruhiza.boroto@fao.org</t>
  </si>
  <si>
    <t>UN Food and Agriculture Organization (FAO)</t>
  </si>
  <si>
    <t>Italy</t>
  </si>
  <si>
    <t>Boyce, Alex</t>
  </si>
  <si>
    <t>aboyce@mrnrd.org</t>
  </si>
  <si>
    <t>MRNRD</t>
  </si>
  <si>
    <t>Briggs, Ann</t>
  </si>
  <si>
    <t>annbriggs@nebraska.edu</t>
  </si>
  <si>
    <t>Nebraska Water Center</t>
  </si>
  <si>
    <t>Brison, Thomas</t>
  </si>
  <si>
    <t>tbrison2@unl.edu</t>
  </si>
  <si>
    <t>Britto Siqueira, Alessio</t>
  </si>
  <si>
    <t>alessiobritto@yahoo.com.br</t>
  </si>
  <si>
    <t>Brozovic, Nick</t>
  </si>
  <si>
    <t>nbrozovic@nebraska.edu</t>
  </si>
  <si>
    <t>Daugherty Water for Food Global Institute</t>
  </si>
  <si>
    <t>Bruckner, Brian</t>
  </si>
  <si>
    <t>bbruckner@lenrd.org</t>
  </si>
  <si>
    <t>Lower Elkhorn Natural Resources District</t>
  </si>
  <si>
    <t>Bruns, Kelly</t>
  </si>
  <si>
    <t>kelly.bruns@unl.edu</t>
  </si>
  <si>
    <t>Burbach, Mark</t>
  </si>
  <si>
    <t>mburbach1@unl.edu</t>
  </si>
  <si>
    <t>Calegare, Liana</t>
  </si>
  <si>
    <t>lcalegare2@unl.edu</t>
  </si>
  <si>
    <t>ARD-UNL</t>
  </si>
  <si>
    <t>CARBAJAL GUERRERO, ALBERTO CARLOS</t>
  </si>
  <si>
    <t>carlos.carbajal@crs.org</t>
  </si>
  <si>
    <t>Catholic Relief Services</t>
  </si>
  <si>
    <t>El Salvador</t>
  </si>
  <si>
    <t>Castro-Garcia, Gustavo</t>
  </si>
  <si>
    <t>gcastrogarcia2@huskers.unl.edu</t>
  </si>
  <si>
    <t>Chaffey, Wayne</t>
  </si>
  <si>
    <t>wayne_chaffey@yahoo.com.au</t>
  </si>
  <si>
    <t>Chaffey Partnership/Upper Namoi Water in the Landscape Initiative</t>
  </si>
  <si>
    <t>Australia</t>
  </si>
  <si>
    <t>Chandra, Ankit</t>
  </si>
  <si>
    <t>achandra@unl.edu</t>
  </si>
  <si>
    <t>Ciftci, Ozan</t>
  </si>
  <si>
    <t>ciftci@unl.edu</t>
  </si>
  <si>
    <t>Cloud, Lorelei</t>
  </si>
  <si>
    <t>cloudlorelei@gmail.com</t>
  </si>
  <si>
    <t>Southern Ute Tribe</t>
  </si>
  <si>
    <t>Cluver, Karin</t>
  </si>
  <si>
    <t>karin@cluver.com</t>
  </si>
  <si>
    <t>De Rust</t>
  </si>
  <si>
    <t>South Africa</t>
  </si>
  <si>
    <t>Cobbing, Jude</t>
  </si>
  <si>
    <t>jcobbing@nebraska.edu</t>
  </si>
  <si>
    <t>Innovation Laboratory for Irrigation and Mechanization Systems at the University of Nebraska</t>
  </si>
  <si>
    <t>Collins, Kalley</t>
  </si>
  <si>
    <t>kcollins14@huskers.unl.edu</t>
  </si>
  <si>
    <t>Correll, Taylor</t>
  </si>
  <si>
    <t>trosso2@huskers.unl.edu</t>
  </si>
  <si>
    <t>Cotter-Vardeman, Lacy</t>
  </si>
  <si>
    <t>cattleincotton@gmail.com</t>
  </si>
  <si>
    <t>Cotter Ranch LTD and Cotter Key Farms</t>
  </si>
  <si>
    <t>Cougher, John</t>
  </si>
  <si>
    <t>jcougher@tnc.org</t>
  </si>
  <si>
    <t>The Nature Conservancy</t>
  </si>
  <si>
    <t>Critelli, Jamie</t>
  </si>
  <si>
    <t>jamie.a.critelli.mil@army.mil</t>
  </si>
  <si>
    <t>US Army</t>
  </si>
  <si>
    <t>Cude, Curtis</t>
  </si>
  <si>
    <t>curtis.cude@waterinsecuritysolutions.com</t>
  </si>
  <si>
    <t>Water Insecurity Solutions LLC</t>
  </si>
  <si>
    <t>da Silva, Regislaine</t>
  </si>
  <si>
    <t>odonto1975@gmail.com</t>
  </si>
  <si>
    <t>Agropecuária WM</t>
  </si>
  <si>
    <t>Dahoun, Rym</t>
  </si>
  <si>
    <t>rdahoun2@huskers.unl.edu</t>
  </si>
  <si>
    <t>Daigh, Aaron</t>
  </si>
  <si>
    <t>adaigh2@unl.edu</t>
  </si>
  <si>
    <t>Dare, Anne</t>
  </si>
  <si>
    <t>anne.e.dare@gmail.com</t>
  </si>
  <si>
    <t>U.S. Agency for International Development</t>
  </si>
  <si>
    <t>Daroub, Samira</t>
  </si>
  <si>
    <t>sdaroub@ufl.edu</t>
  </si>
  <si>
    <t>University of Florida</t>
  </si>
  <si>
    <t>David, Mugenyi</t>
  </si>
  <si>
    <t>mugenyidavid31@gmail.com</t>
  </si>
  <si>
    <t>Kibaale District</t>
  </si>
  <si>
    <t>Davidson, Michael</t>
  </si>
  <si>
    <t>michael.davidson@chucaotech.com</t>
  </si>
  <si>
    <t>ChucaoTech US</t>
  </si>
  <si>
    <t>DE LARA PIRES, PAULO DE TARSO</t>
  </si>
  <si>
    <t>ptlpires@gmail.com</t>
  </si>
  <si>
    <t>Simepar</t>
  </si>
  <si>
    <t>Decker, Elanore</t>
  </si>
  <si>
    <t>Elanore.decker@earthlink.net</t>
  </si>
  <si>
    <t>Retired</t>
  </si>
  <si>
    <t>Delaney, Anthony</t>
  </si>
  <si>
    <t>adelaney2@unl.edu</t>
  </si>
  <si>
    <t>Deppert, Quinton</t>
  </si>
  <si>
    <t>qdeppert2@unl.edu</t>
  </si>
  <si>
    <t>Deuerling, Kelly</t>
  </si>
  <si>
    <t>kdeuerling@unomaha.edu</t>
  </si>
  <si>
    <t>University of Nebraska Omaha</t>
  </si>
  <si>
    <t>Dowell, Lyndsey</t>
  </si>
  <si>
    <t>lyndsey.dowell@tnc.org</t>
  </si>
  <si>
    <t>Dugnani, Dhone</t>
  </si>
  <si>
    <t>dhone@dugnani.com.br</t>
  </si>
  <si>
    <t>Aiba</t>
  </si>
  <si>
    <t>Duisebek, Baktybek</t>
  </si>
  <si>
    <t>b.duisebek17@gmail.com</t>
  </si>
  <si>
    <t>Colorado State University</t>
  </si>
  <si>
    <t>DWUMFOUR, KWASI OHENE</t>
  </si>
  <si>
    <t>dwumfourkwasiohene1@gmail.com</t>
  </si>
  <si>
    <t>NETWORK FOR PROMOTION OF AGRICULTURE AND ENVIRONMENTAL STUDIES</t>
  </si>
  <si>
    <t>Ghana</t>
  </si>
  <si>
    <t>Egbuchiem, Alex</t>
  </si>
  <si>
    <t>aegbuchiem@unmc.edu</t>
  </si>
  <si>
    <t>University of Nebraska Medical Center</t>
  </si>
  <si>
    <t>Ei Phyoe, Pan Ei</t>
  </si>
  <si>
    <t>panei.eiphyoe@ouce.ox.ac.uk</t>
  </si>
  <si>
    <t>University of Oxford</t>
  </si>
  <si>
    <t>United Kingdom</t>
  </si>
  <si>
    <t>Eiting, Craig</t>
  </si>
  <si>
    <t>ceiting@nebraska.edu</t>
  </si>
  <si>
    <t>Eiting2, Craig</t>
  </si>
  <si>
    <t>ceiting2@unl.edu</t>
  </si>
  <si>
    <t>Elnes, Arianna</t>
  </si>
  <si>
    <t>aelnes@nebraska.edu</t>
  </si>
  <si>
    <t>ETGEN, JOHN</t>
  </si>
  <si>
    <t>john.etgen@c4water.org</t>
  </si>
  <si>
    <t>C4W - Collective Action for a Water Secure World</t>
  </si>
  <si>
    <t>Eujayl, Imad</t>
  </si>
  <si>
    <t>imadeujayl@gmail.com</t>
  </si>
  <si>
    <t>Sudan NextGen Organization-NGO, Omaha, NE</t>
  </si>
  <si>
    <t>Ferguson, Richard</t>
  </si>
  <si>
    <t>rferguson1@unl.edu</t>
  </si>
  <si>
    <t>Ferreira, Gustavo</t>
  </si>
  <si>
    <t>gustavo.f.ferreira.mil@army.mil</t>
  </si>
  <si>
    <t>353 Civil Affairs Command, U.S. Army Reserves</t>
  </si>
  <si>
    <t>Finger, Maria Isabel</t>
  </si>
  <si>
    <t>mi_finger@hotmail.com</t>
  </si>
  <si>
    <t>AgroBravo</t>
  </si>
  <si>
    <t>Florell, Melissa</t>
  </si>
  <si>
    <t>melissa.florell@unmc.edu</t>
  </si>
  <si>
    <t>UNMC College of Nursing - Lincoln</t>
  </si>
  <si>
    <t>Fontana Klein, Greice Kelli</t>
  </si>
  <si>
    <t>greicekfk@hotmail.com</t>
  </si>
  <si>
    <t>SPRLEM (Sindicato dos Produtores Rurais de Luís Eduardo Magalhães - BA e região)</t>
  </si>
  <si>
    <t>Fortner, Nathan</t>
  </si>
  <si>
    <t>nathanfortner@gmail.com</t>
  </si>
  <si>
    <t>East Gate Extension</t>
  </si>
  <si>
    <t>Fossum, Britt</t>
  </si>
  <si>
    <t>bfossum2@huskers.unl.edu</t>
  </si>
  <si>
    <t>Foster, Tim</t>
  </si>
  <si>
    <t>timothy.foster@manchester.ac.uk</t>
  </si>
  <si>
    <t>University of Manchester</t>
  </si>
  <si>
    <t>Fowle, Colleen</t>
  </si>
  <si>
    <t>fowle@iaenvironment.org</t>
  </si>
  <si>
    <t>Iowa Environmental Council</t>
  </si>
  <si>
    <t>Fritton, Jacob</t>
  </si>
  <si>
    <t>jfritton@tnc.org</t>
  </si>
  <si>
    <t>Gates, John</t>
  </si>
  <si>
    <t>john.g@cropx.com</t>
  </si>
  <si>
    <t>CropX Technologies</t>
  </si>
  <si>
    <t>Ghimire, Nav</t>
  </si>
  <si>
    <t>nghimire3@unl.edu</t>
  </si>
  <si>
    <t>Nebraska Extension</t>
  </si>
  <si>
    <t>Gholson, Drew</t>
  </si>
  <si>
    <t>drew.gholson@msstate.edu</t>
  </si>
  <si>
    <t>Mississippi State University</t>
  </si>
  <si>
    <t>Giannakas, Konstantinos</t>
  </si>
  <si>
    <t>kgiannakas@unl.edu</t>
  </si>
  <si>
    <t>Gibson, Justin</t>
  </si>
  <si>
    <t>justin.gibson@lindsay.com</t>
  </si>
  <si>
    <t>Gillespie, Matthew</t>
  </si>
  <si>
    <t>mgillespie5@huskers.unl.edu</t>
  </si>
  <si>
    <t>Ginsburg, Chloe</t>
  </si>
  <si>
    <t>cginsburg@rightsandresources.org</t>
  </si>
  <si>
    <t>Rights and Resources Initiative</t>
  </si>
  <si>
    <t>Giri, Dipesh</t>
  </si>
  <si>
    <t>dgiri2@huskers.unl.edu</t>
  </si>
  <si>
    <t>Gomes, Osmar Luiz</t>
  </si>
  <si>
    <t>na.mario@hotmail.com</t>
  </si>
  <si>
    <t>Goswami, Shubham</t>
  </si>
  <si>
    <t>sgoswami3@unl.edu</t>
  </si>
  <si>
    <t>Grasssini, Patricio</t>
  </si>
  <si>
    <t>pgrassini2@unl.edu</t>
  </si>
  <si>
    <t>Gribben, Kelli</t>
  </si>
  <si>
    <t>Kelli.gribben@unmc.edu</t>
  </si>
  <si>
    <t>Guira, Moussa</t>
  </si>
  <si>
    <t>moussaguira@gmail.com</t>
  </si>
  <si>
    <t>Independent Contractor</t>
  </si>
  <si>
    <t>Gurung, Tika</t>
  </si>
  <si>
    <t>tgurung3@unl.edu</t>
  </si>
  <si>
    <t>Haacker, Erin</t>
  </si>
  <si>
    <t>haacker@unl.edu</t>
  </si>
  <si>
    <t>Hafeez, Mohsin</t>
  </si>
  <si>
    <t>m.hafeez@cgiar.org</t>
  </si>
  <si>
    <t>International Water Management Institute (IWMI)</t>
  </si>
  <si>
    <t>Pakistan</t>
  </si>
  <si>
    <t>Hamad, Seifeldin</t>
  </si>
  <si>
    <t>seifeldin_eltwaim@yahoo.com</t>
  </si>
  <si>
    <t>The Centre of Water Security Studies and Capacity Development</t>
  </si>
  <si>
    <t>Sudan</t>
  </si>
  <si>
    <t>Hamm, Nik</t>
  </si>
  <si>
    <t>nik.hamm@valmont.com</t>
  </si>
  <si>
    <t>Valmont Industries</t>
  </si>
  <si>
    <t>Hampton, Brett</t>
  </si>
  <si>
    <t>hampton.brett@gmail.com</t>
  </si>
  <si>
    <t>Brett Hampton Photography</t>
  </si>
  <si>
    <t>Hanthorn, Mary Anne</t>
  </si>
  <si>
    <t>mahanthorn@aol.com</t>
  </si>
  <si>
    <t>Retired-Calif Dept of Public Health</t>
  </si>
  <si>
    <t>Hasan, Rimsha</t>
  </si>
  <si>
    <t>rhasan4@unl.edu</t>
  </si>
  <si>
    <t>Hayes, Frances</t>
  </si>
  <si>
    <t>fhayes@nebraska.edu</t>
  </si>
  <si>
    <t>Hayes, Michael</t>
  </si>
  <si>
    <t>mhayes2@unl.edu</t>
  </si>
  <si>
    <t>Hazra, Moushumi</t>
  </si>
  <si>
    <t>mhazra2@unl.edu</t>
  </si>
  <si>
    <t>Heeren, Derek</t>
  </si>
  <si>
    <t>derek.heeren@unl.edu</t>
  </si>
  <si>
    <t>Heng-Moss, Tiffany</t>
  </si>
  <si>
    <t>thengmoss2@unl.edu</t>
  </si>
  <si>
    <t>Hernandez, Noe</t>
  </si>
  <si>
    <t>nhernandez10@huskers.unl.edu</t>
  </si>
  <si>
    <t>Herpel, Rachael</t>
  </si>
  <si>
    <t>rherpel@nebraska.edu</t>
  </si>
  <si>
    <t>Hersaa, Andreas</t>
  </si>
  <si>
    <t>andreashersaa@hotmail.com</t>
  </si>
  <si>
    <t>A</t>
  </si>
  <si>
    <t>Denmark</t>
  </si>
  <si>
    <t>Hickle, Katie</t>
  </si>
  <si>
    <t>katie.hickle@nebraska.gov</t>
  </si>
  <si>
    <t>Nebraska Department Environment and Energy</t>
  </si>
  <si>
    <t>Hicks, Paul</t>
  </si>
  <si>
    <t>paul.hicks@crs.org</t>
  </si>
  <si>
    <t>CRS</t>
  </si>
  <si>
    <t>Hill, Nicole</t>
  </si>
  <si>
    <t>nhill@bentley.edu</t>
  </si>
  <si>
    <t>Bentley University</t>
  </si>
  <si>
    <t>Hotze, Matt</t>
  </si>
  <si>
    <t>matth@gfi.org</t>
  </si>
  <si>
    <t>The Good Food Institute</t>
  </si>
  <si>
    <t>hubbard, anne</t>
  </si>
  <si>
    <t>annemmhubbard@gmail.com</t>
  </si>
  <si>
    <t>Claire m Hubbard fdn</t>
  </si>
  <si>
    <t>Hunnicutt, Brandon</t>
  </si>
  <si>
    <t>dirtpoorfarmer@gmail.com</t>
  </si>
  <si>
    <t>Hunnicutt Farms</t>
  </si>
  <si>
    <t>Hutchcraft-May, Brea</t>
  </si>
  <si>
    <t>brea.hutchcraft-may@bayer.com</t>
  </si>
  <si>
    <t>Bayer CropScience LP</t>
  </si>
  <si>
    <t>Ibach, Greg</t>
  </si>
  <si>
    <t>gibach2@unl.edu</t>
  </si>
  <si>
    <t>Institute of Agriculture and Natural Resources</t>
  </si>
  <si>
    <t>Ibrahim, Samir</t>
  </si>
  <si>
    <t>samir@sunculture.com</t>
  </si>
  <si>
    <t>SunCulture</t>
  </si>
  <si>
    <t>Kenya</t>
  </si>
  <si>
    <t>Iqbal, Javed</t>
  </si>
  <si>
    <t>jiqbal2@unl.edu</t>
  </si>
  <si>
    <t>Ishag, Moaz</t>
  </si>
  <si>
    <t>Mishag2@unl.edu</t>
  </si>
  <si>
    <t>Isom, Loren</t>
  </si>
  <si>
    <t>Loren.Isom@unl.edu</t>
  </si>
  <si>
    <t>University of Nebraska - Industrial Ag Products</t>
  </si>
  <si>
    <t>Jackson, Mariah</t>
  </si>
  <si>
    <t>mariah.jackson@unmc.edu</t>
  </si>
  <si>
    <t>Jacobson, Dale</t>
  </si>
  <si>
    <t>djacobson@mac.com</t>
  </si>
  <si>
    <t>DD Consulting, LLC</t>
  </si>
  <si>
    <t>Jayasekera, Deshamithra</t>
  </si>
  <si>
    <t>djayasekera@nebraska.edu</t>
  </si>
  <si>
    <t>Jimenez Beato, Patricia</t>
  </si>
  <si>
    <t>patricia.jimenez@fao.org</t>
  </si>
  <si>
    <t>FAO Dominican Republic</t>
  </si>
  <si>
    <t>Dominican Republic</t>
  </si>
  <si>
    <t>Johnson, Dave</t>
  </si>
  <si>
    <t>dave.johnson@licor.com</t>
  </si>
  <si>
    <t>LI-COR</t>
  </si>
  <si>
    <t>Johnson, Erik</t>
  </si>
  <si>
    <t>erik.johnson@licor.com</t>
  </si>
  <si>
    <t>Jones, Rena</t>
  </si>
  <si>
    <t>rena.jones@nih.gov</t>
  </si>
  <si>
    <t>National Cancer Institute</t>
  </si>
  <si>
    <t>Julio Gatto, Danilo</t>
  </si>
  <si>
    <t>danilo.gatto@hotmail.com</t>
  </si>
  <si>
    <t>COAGRIL Cooperativa Agrícola de Unaí</t>
  </si>
  <si>
    <t>Kabelac, Zach</t>
  </si>
  <si>
    <t>zach@aperture.earth</t>
  </si>
  <si>
    <t>Aperture</t>
  </si>
  <si>
    <t>Kapoor, Aditya</t>
  </si>
  <si>
    <t>akapoor3@unl.edu</t>
  </si>
  <si>
    <t>Nebraska Water Center, DWFI, University of Nebraska</t>
  </si>
  <si>
    <t>KARTHIK, BURRA</t>
  </si>
  <si>
    <t>burrakarthik@iisc.ac.in</t>
  </si>
  <si>
    <t>Katimbo, Abia</t>
  </si>
  <si>
    <t>abia.katimbo@unl.edu</t>
  </si>
  <si>
    <t>Keough, Adam</t>
  </si>
  <si>
    <t>adam.keough@crs.org</t>
  </si>
  <si>
    <t>Khorchani, Makki</t>
  </si>
  <si>
    <t>mkhorchani2@unl.edu</t>
  </si>
  <si>
    <t>Kiersch, Benjamin</t>
  </si>
  <si>
    <t>benjamin.kiersch@fao.org</t>
  </si>
  <si>
    <t>Food and Agriculture Organization of the UN (FAO)</t>
  </si>
  <si>
    <t>Germany</t>
  </si>
  <si>
    <t>Kintziger, Kristina</t>
  </si>
  <si>
    <t>kkintziger@unmc.edu</t>
  </si>
  <si>
    <t>KRAUSNICK, MARIE</t>
  </si>
  <si>
    <t>mebel@upperbigblue.org</t>
  </si>
  <si>
    <t>Upper Big Blue Natural Resources District</t>
  </si>
  <si>
    <t>Kudary, Mounika</t>
  </si>
  <si>
    <t>mkudary@unmc.edu</t>
  </si>
  <si>
    <t>Kumar, Chandan</t>
  </si>
  <si>
    <t>ckumar3@huskers.unl.edu</t>
  </si>
  <si>
    <t>Kyei, Isaac</t>
  </si>
  <si>
    <t>ikyei2@huskers.unl.edu</t>
  </si>
  <si>
    <t>Lal, Ishani</t>
  </si>
  <si>
    <t>lal.ishani03@gmail.com</t>
  </si>
  <si>
    <t>Lambe, Dave</t>
  </si>
  <si>
    <t>dlambe1@unl.edu</t>
  </si>
  <si>
    <t>02/17/2021</t>
  </si>
  <si>
    <t>LaPointe, Aaron</t>
  </si>
  <si>
    <t>alapointe@hochunkcapital.com</t>
  </si>
  <si>
    <t>Ho-Chunk Capital</t>
  </si>
  <si>
    <t>Larson, Ashley</t>
  </si>
  <si>
    <t>alarson@midwestdairy.com</t>
  </si>
  <si>
    <t>Midwest Dairy</t>
  </si>
  <si>
    <t>Lawson, Robert</t>
  </si>
  <si>
    <t>robert.lawson@usda.gov</t>
  </si>
  <si>
    <t>USDA-NRCS</t>
  </si>
  <si>
    <t>Lefore, Nicole</t>
  </si>
  <si>
    <t>nlefore@nebraska.edu</t>
  </si>
  <si>
    <t>Leigh, Debra</t>
  </si>
  <si>
    <t>debraleigh@mac.com</t>
  </si>
  <si>
    <t>Leigh Environmental Equipment, Inc.</t>
  </si>
  <si>
    <t>lele, uma</t>
  </si>
  <si>
    <t>umalele1@gmail.com</t>
  </si>
  <si>
    <t>formerWB</t>
  </si>
  <si>
    <t>Liedle, Tricia</t>
  </si>
  <si>
    <t>pliedle@nebraska.edu</t>
  </si>
  <si>
    <t>Lorena, Luciana</t>
  </si>
  <si>
    <t>luciana.lorena@icrop.com.br</t>
  </si>
  <si>
    <t>Loschi, Hilda Andrea</t>
  </si>
  <si>
    <t>loschi.hilda@gmail.com</t>
  </si>
  <si>
    <t>Sindicato dos Produtores Rurais de Montes Claros</t>
  </si>
  <si>
    <t>Luck, Joe</t>
  </si>
  <si>
    <t>jluck2@unl.edu</t>
  </si>
  <si>
    <t>M Mudhara, Maxwell</t>
  </si>
  <si>
    <t>mudhara@ukzn.ac.za</t>
  </si>
  <si>
    <t>University of KwaZulu-Natal</t>
  </si>
  <si>
    <t>Mabhaudhi, Tafadzwa</t>
  </si>
  <si>
    <t>Mabhaudhi@ukzn.ac.za</t>
  </si>
  <si>
    <t>Magnusson, Brian</t>
  </si>
  <si>
    <t>brian.magnusson@lindsay.com</t>
  </si>
  <si>
    <t>Malakar, Arindam</t>
  </si>
  <si>
    <t>amalakar2@unl.edu</t>
  </si>
  <si>
    <t>Malecek, Steven</t>
  </si>
  <si>
    <t>sjmalecek@gmail.com</t>
  </si>
  <si>
    <t>Water Pathways, LLC</t>
  </si>
  <si>
    <t>Mamo, Martha</t>
  </si>
  <si>
    <t>mmamo3@unl.edu</t>
  </si>
  <si>
    <t>Mantovani, Everardo</t>
  </si>
  <si>
    <t>mantovani.everardo@gmail.com</t>
  </si>
  <si>
    <t>AIBA e UFV</t>
  </si>
  <si>
    <t>Maranga, Lydiah</t>
  </si>
  <si>
    <t>lmaranga@gmail.com</t>
  </si>
  <si>
    <t>MetroPcs</t>
  </si>
  <si>
    <t>Marcos, Luis</t>
  </si>
  <si>
    <t>luismarcos@mayaedc.org</t>
  </si>
  <si>
    <t>Comunidad Maya Pixan Ixim: Reinforcing Our Roots, Living our Maya Heritage</t>
  </si>
  <si>
    <t>Marcus, Felicia</t>
  </si>
  <si>
    <t>feliciaamarcus@gmail.com</t>
  </si>
  <si>
    <t>Stanford University</t>
  </si>
  <si>
    <t>Martin, Tyler</t>
  </si>
  <si>
    <t>tyler.martin@nebraska.gov</t>
  </si>
  <si>
    <t>NE Dept. of Natural Resources</t>
  </si>
  <si>
    <t>MARTINEZ SALGADO, MARIANA</t>
  </si>
  <si>
    <t>m.salgado@worldwatercouncil.org</t>
  </si>
  <si>
    <t>WORLD WATER COUNCIL</t>
  </si>
  <si>
    <t>France</t>
  </si>
  <si>
    <t>Masih, Ashish</t>
  </si>
  <si>
    <t>masih.ashish@gmail.com</t>
  </si>
  <si>
    <t>ashish.masih@unl.edu</t>
  </si>
  <si>
    <t>Matlock, Marty</t>
  </si>
  <si>
    <t>mmatlock@uark.edu</t>
  </si>
  <si>
    <t>University of Arkansas</t>
  </si>
  <si>
    <t>Matthews, Darryl</t>
  </si>
  <si>
    <t>darryl.matthews@valmont.com</t>
  </si>
  <si>
    <t>McCornick, Peter</t>
  </si>
  <si>
    <t>PMcCornick@Nebraska.edu</t>
  </si>
  <si>
    <t>Daugherty Water for Food Global Institute (DWFI)</t>
  </si>
  <si>
    <t>McCullough-Sanden, Blake</t>
  </si>
  <si>
    <t>blsanden@ucdavis.edu</t>
  </si>
  <si>
    <t>University of California Cooperative Extension</t>
  </si>
  <si>
    <t>McLean, Derek</t>
  </si>
  <si>
    <t>derek.mclean@unl.edu</t>
  </si>
  <si>
    <t>Meaney, Robert</t>
  </si>
  <si>
    <t>erobertmeaney@gmail.com</t>
  </si>
  <si>
    <t>Means, Janet</t>
  </si>
  <si>
    <t>jmeans@nebraska.edu</t>
  </si>
  <si>
    <t>Melvin, Steve</t>
  </si>
  <si>
    <t>unlextension@unl.edu</t>
  </si>
  <si>
    <t>University of Nebraska, Lincoln</t>
  </si>
  <si>
    <t>Mengarda, Rodolfo</t>
  </si>
  <si>
    <t>rodolfo.mengarda@slcagricola.com.br</t>
  </si>
  <si>
    <t>SLC Agrícola</t>
  </si>
  <si>
    <t>rodolfo_mengarda@hotmail.com</t>
  </si>
  <si>
    <t>Merrey, Doug</t>
  </si>
  <si>
    <t>dougmerrey@gmail.com</t>
  </si>
  <si>
    <t>Independent</t>
  </si>
  <si>
    <t>Meusch, Tony</t>
  </si>
  <si>
    <t>anthony.meusch@valmont.com</t>
  </si>
  <si>
    <t>Mick, John</t>
  </si>
  <si>
    <t>john.mick@pioneer.com</t>
  </si>
  <si>
    <t>Corteva Agriscience</t>
  </si>
  <si>
    <t>Mishra, Shreesha</t>
  </si>
  <si>
    <t>shreesha@nmsu.edu</t>
  </si>
  <si>
    <t>Mitchell, Wayne</t>
  </si>
  <si>
    <t>wayne@nboi.org</t>
  </si>
  <si>
    <t>NBOI-New Beginnings Orphanages International</t>
  </si>
  <si>
    <t>Mitra, Alakananda</t>
  </si>
  <si>
    <t>amitra6@unl.edu</t>
  </si>
  <si>
    <t>Nebraska Water Center, University of Nebraska-Lincoln</t>
  </si>
  <si>
    <t>Mittelstet, Aaron</t>
  </si>
  <si>
    <t>amittelstet2@unl.edu</t>
  </si>
  <si>
    <t>Mohtar, rabi</t>
  </si>
  <si>
    <t>mohtar@tamu.edu</t>
  </si>
  <si>
    <t>TAMU</t>
  </si>
  <si>
    <t>Moreland, Katherine</t>
  </si>
  <si>
    <t>kmoreland1@tulane.edu</t>
  </si>
  <si>
    <t>Tulane Institute for Water Resources Law and Policy</t>
  </si>
  <si>
    <t>Motschenbacher, Jill</t>
  </si>
  <si>
    <t>jmotschenbacher2@unl.edu</t>
  </si>
  <si>
    <t>University of Nebraska-Lincoln, School of Natural Resources</t>
  </si>
  <si>
    <t>Mthombeni, Raphael</t>
  </si>
  <si>
    <t>raphael@intuba.org</t>
  </si>
  <si>
    <t>Intuba</t>
  </si>
  <si>
    <t>MUDDU, Sekhar</t>
  </si>
  <si>
    <t>sekhar.muddu@gmail.com</t>
  </si>
  <si>
    <t>Indian Institute of Science</t>
  </si>
  <si>
    <t>Mugwanya, Nassib</t>
  </si>
  <si>
    <t>nmugwanya@fh365.org</t>
  </si>
  <si>
    <t>Fresh Harvest 365</t>
  </si>
  <si>
    <t>Muller, Shabani</t>
  </si>
  <si>
    <t>shabanikmuller@gamail.com</t>
  </si>
  <si>
    <t>The University of Nebraska-Lincoln</t>
  </si>
  <si>
    <t>Munoz-Arriola, Francisco</t>
  </si>
  <si>
    <t>fmunoz@unl.edu</t>
  </si>
  <si>
    <t>Munyaneza, David</t>
  </si>
  <si>
    <t>dmunyaneza@nebraska.edu</t>
  </si>
  <si>
    <t>Murias Jardim, Thais</t>
  </si>
  <si>
    <t>tmuriasjardim2@huskers.unl.edu</t>
  </si>
  <si>
    <t>NADIRADZE, Dr. Kakha</t>
  </si>
  <si>
    <t>nadiradzekakha@gmail.com</t>
  </si>
  <si>
    <t>AFRD Georgia</t>
  </si>
  <si>
    <t>Georgia</t>
  </si>
  <si>
    <t>Nagengast, Laura</t>
  </si>
  <si>
    <t>lnagengast3@unl.edu</t>
  </si>
  <si>
    <t>Nakabuye, Hope Njuki</t>
  </si>
  <si>
    <t>hopenjuki.nakabuye@ag.tamu.edu</t>
  </si>
  <si>
    <t>Texas A&amp;M AgriLife Research</t>
  </si>
  <si>
    <t>Nance, Molly</t>
  </si>
  <si>
    <t>mnance@nebraska.edu</t>
  </si>
  <si>
    <t>Nangia, Vinay</t>
  </si>
  <si>
    <t>v.nangia@cgiar.org</t>
  </si>
  <si>
    <t>ICARDA: International Center for Agricultural Research in the Dry Areas</t>
  </si>
  <si>
    <t>Morocco</t>
  </si>
  <si>
    <t>Nascimento, Thais</t>
  </si>
  <si>
    <t>thaa-ferreira@hotmail.com</t>
  </si>
  <si>
    <t>Neale, Christopher</t>
  </si>
  <si>
    <t>cneale@nebraska.edu</t>
  </si>
  <si>
    <t>Daugherty Water for Food Global Institute, University of Nebraska</t>
  </si>
  <si>
    <t>Oguro, Shohei</t>
  </si>
  <si>
    <t>soguro2@huskers.unl.edu</t>
  </si>
  <si>
    <t>Olupathage, Harshana</t>
  </si>
  <si>
    <t>holupathage2@huskers.unl.edu</t>
  </si>
  <si>
    <t>Oppong Danso, Eric</t>
  </si>
  <si>
    <t>eodanso@ug.edu.gh</t>
  </si>
  <si>
    <t>University of Ghana</t>
  </si>
  <si>
    <t>Ortega, Richard</t>
  </si>
  <si>
    <t>rortegajustavino2@unl.edu</t>
  </si>
  <si>
    <t>University Nebraska Lincoln</t>
  </si>
  <si>
    <t>Ortiz Balsero, Andrew Stiven</t>
  </si>
  <si>
    <t>aortizbalsero2@unl.edu</t>
  </si>
  <si>
    <t>Osgood, Daniel</t>
  </si>
  <si>
    <t>do2126@columbia.edu</t>
  </si>
  <si>
    <t>Columbia University</t>
  </si>
  <si>
    <t>Ourada, Jackie</t>
  </si>
  <si>
    <t>jourada@nebraskapublicmedia.org</t>
  </si>
  <si>
    <t>Parisoto, Greici</t>
  </si>
  <si>
    <t>gparisoto2@unl.edu</t>
  </si>
  <si>
    <t>Pasman, Martin</t>
  </si>
  <si>
    <t>mpasman@irri.com.ar</t>
  </si>
  <si>
    <t>VALMONT INDUSTRIES DE ARGENTINA</t>
  </si>
  <si>
    <t>Argentina</t>
  </si>
  <si>
    <t>Patias Lena, Bruno</t>
  </si>
  <si>
    <t>bpatiaslena2@unl.edu</t>
  </si>
  <si>
    <t>University of Nebraska-Lincoln - Nebraska Extension</t>
  </si>
  <si>
    <t>Paulman, Roric</t>
  </si>
  <si>
    <t>rpfarm001@gmail.com</t>
  </si>
  <si>
    <t>Paulman Farms</t>
  </si>
  <si>
    <t>Pellenz Dugnani, Lia Fernanda</t>
  </si>
  <si>
    <t>lia@dugnani.com.br</t>
  </si>
  <si>
    <t>CBH-Rio Grande</t>
  </si>
  <si>
    <t>Peñate Trujillo, Carlos Armando</t>
  </si>
  <si>
    <t>carlospenate453@gmail.com</t>
  </si>
  <si>
    <t>Centro de formacion Tierra Saludable Ameyalli</t>
  </si>
  <si>
    <t>Peñate Trujillo, Karen Beatriz</t>
  </si>
  <si>
    <t>penatekaren96@gmail.com</t>
  </si>
  <si>
    <t>Centro de Formacion Tierra Saludable Ameyalli</t>
  </si>
  <si>
    <t>Pereira Ramos, Mariana</t>
  </si>
  <si>
    <t>mariana.ramos@faemg.org.br</t>
  </si>
  <si>
    <t>FAEMG Senar</t>
  </si>
  <si>
    <t>Petenatti, Melina</t>
  </si>
  <si>
    <t>mpetenattimunoz2@huskers.unl.edu</t>
  </si>
  <si>
    <t>Petersen, Ralf</t>
  </si>
  <si>
    <t>petersen@stockpilehydration.com</t>
  </si>
  <si>
    <t>Stockpile Hydration</t>
  </si>
  <si>
    <t>Petroll, Rowena</t>
  </si>
  <si>
    <t>rowena.petroll@agropelparacatu.com.br</t>
  </si>
  <si>
    <t>Phan, Hanh</t>
  </si>
  <si>
    <t>hphan4@unl.edu</t>
  </si>
  <si>
    <t>Piccinni, Giovanni</t>
  </si>
  <si>
    <t>g-piccinni@tamu.edu</t>
  </si>
  <si>
    <t>Texas A&amp;M University, Texas Water Resources Institute</t>
  </si>
  <si>
    <t>Pinho Tavares, Isadora</t>
  </si>
  <si>
    <t>isadora.tavares@meioambiente.mg.gov.br</t>
  </si>
  <si>
    <t>IGAM</t>
  </si>
  <si>
    <t>Pitla, Santosh</t>
  </si>
  <si>
    <t>spitla2@unl.edu</t>
  </si>
  <si>
    <t>Piva, Luciana</t>
  </si>
  <si>
    <t>lupiva@gmail.com</t>
  </si>
  <si>
    <t>Poetzl, Anni</t>
  </si>
  <si>
    <t>apoetzl2@unl.edu</t>
  </si>
  <si>
    <t>UNL Extension</t>
  </si>
  <si>
    <t>Poland, Suzanne</t>
  </si>
  <si>
    <t>polandsuz@yahoo.com</t>
  </si>
  <si>
    <t>Retired USAID</t>
  </si>
  <si>
    <t>Pope, Clay</t>
  </si>
  <si>
    <t>clay.pope@tnc.org</t>
  </si>
  <si>
    <t>NC036</t>
  </si>
  <si>
    <t>Porto, Eneas</t>
  </si>
  <si>
    <t>eneas.porto@aiba.org.br</t>
  </si>
  <si>
    <t>Powell, Larkin</t>
  </si>
  <si>
    <t>lpowell3@unl.edu</t>
  </si>
  <si>
    <t>School of Natural Resources, University of Nebraska-Lincoln</t>
  </si>
  <si>
    <t>Powers, Crystal</t>
  </si>
  <si>
    <t>cpowers@nebraska.edu</t>
  </si>
  <si>
    <t>Poythress, Amber</t>
  </si>
  <si>
    <t>apoythress@nebraska.edu</t>
  </si>
  <si>
    <t>The Daugherty Water for Food Global Institute</t>
  </si>
  <si>
    <t>Prates Martins, Deyver</t>
  </si>
  <si>
    <t>deyver.agro@gmail.com</t>
  </si>
  <si>
    <t>SAGA Agro-Ambiental Ltda</t>
  </si>
  <si>
    <t>Proctor, Chris</t>
  </si>
  <si>
    <t>caproctor@unl.edu</t>
  </si>
  <si>
    <t>Prosser, Ed</t>
  </si>
  <si>
    <t>eprosser@scoular.com</t>
  </si>
  <si>
    <t>Scoular</t>
  </si>
  <si>
    <t>Provaznik, Mary Kay</t>
  </si>
  <si>
    <t>mkprovaznik@olsson.com</t>
  </si>
  <si>
    <t>Olsson</t>
  </si>
  <si>
    <t>Quintana Ashwell, Nicolas</t>
  </si>
  <si>
    <t>n.quintana@msstate.edu</t>
  </si>
  <si>
    <t>Rahman, Md Masudur</t>
  </si>
  <si>
    <t>mrahman9@huskers.unl.edu</t>
  </si>
  <si>
    <t>Raikes, Abbie</t>
  </si>
  <si>
    <t>abbie.raikes@unmc.edu</t>
  </si>
  <si>
    <t>UNMC College of Public Health/ECD Measure</t>
  </si>
  <si>
    <t>RAMIRES, ALLAN</t>
  </si>
  <si>
    <t>allanramires123@gmail.com</t>
  </si>
  <si>
    <t>Mundo Irrigação</t>
  </si>
  <si>
    <t>Ramires, Geisikely</t>
  </si>
  <si>
    <t>geisi.mpalacios@gmail.com</t>
  </si>
  <si>
    <t>Ray, Chittaranjan</t>
  </si>
  <si>
    <t>cray@nebraska.edu</t>
  </si>
  <si>
    <t>Redfearn, Daren</t>
  </si>
  <si>
    <t>dredfearn2@unl.edu</t>
  </si>
  <si>
    <t>Reiners, Jay</t>
  </si>
  <si>
    <t>jaysfarm1989@gmail.com</t>
  </si>
  <si>
    <t>Sustainable Agriculture Solutions for Africa</t>
  </si>
  <si>
    <t>Richardson, Gary</t>
  </si>
  <si>
    <t>grichardson@lnnrd.org</t>
  </si>
  <si>
    <t>Lower Niobrara NRD</t>
  </si>
  <si>
    <t>Rico, Daniel</t>
  </si>
  <si>
    <t>daniel.rico05@huskers.unl.edu</t>
  </si>
  <si>
    <t>The University of Nebraska - Lincoln</t>
  </si>
  <si>
    <t>Riera, Felix Sebastian</t>
  </si>
  <si>
    <t>riera.sebastianfelix@inta.gob.ar</t>
  </si>
  <si>
    <t>CIEP - INTA (Argentina)</t>
  </si>
  <si>
    <t>Rimsaite, Renata</t>
  </si>
  <si>
    <t>rrimsaite@nebraska.edu</t>
  </si>
  <si>
    <t>Ringler, Claudia</t>
  </si>
  <si>
    <t>c.ringler@cgiar.org</t>
  </si>
  <si>
    <t>IFPRI</t>
  </si>
  <si>
    <t>Ritzema, Randall</t>
  </si>
  <si>
    <t>rritzema@nebraska.edu</t>
  </si>
  <si>
    <t>Roberts, David</t>
  </si>
  <si>
    <t>david.roberts@valmont.com</t>
  </si>
  <si>
    <t>Robinson, Lily</t>
  </si>
  <si>
    <t>lrobinson@lincolninst.edu</t>
  </si>
  <si>
    <t>Lincoln Institute of Land Policy</t>
  </si>
  <si>
    <t>Rock, Barbara</t>
  </si>
  <si>
    <t>brock10@unl.edu</t>
  </si>
  <si>
    <t>Rodrigues, Lineu</t>
  </si>
  <si>
    <t>lneivarodrigues2@unl.edu</t>
  </si>
  <si>
    <t>University of Nebraska, Lincol</t>
  </si>
  <si>
    <t>Rogan, Eleanor</t>
  </si>
  <si>
    <t>egrogan@unmc.edu</t>
  </si>
  <si>
    <t>UNMC</t>
  </si>
  <si>
    <t>Rudnick, Daran</t>
  </si>
  <si>
    <t>drudnick@ksu.edu</t>
  </si>
  <si>
    <t>Kansas State University</t>
  </si>
  <si>
    <t>Rudolph, Jessica</t>
  </si>
  <si>
    <t>jessica@investnebraska.com</t>
  </si>
  <si>
    <t>The Combine</t>
  </si>
  <si>
    <t>Russo, Tess</t>
  </si>
  <si>
    <t>tess.russo@gatesfoundation.org</t>
  </si>
  <si>
    <t>Gates Foundation</t>
  </si>
  <si>
    <t>SALLAH, ANTOINETTE</t>
  </si>
  <si>
    <t>aeagricconsulting@btinternet.com</t>
  </si>
  <si>
    <t>SOLIRAG</t>
  </si>
  <si>
    <t>Salomon, Abraham</t>
  </si>
  <si>
    <t>ab.g.salomon@gmail.com</t>
  </si>
  <si>
    <t>Samci, Emmanuel</t>
  </si>
  <si>
    <t>emmsamci@yahoo.com</t>
  </si>
  <si>
    <t>Samci Foundation</t>
  </si>
  <si>
    <t>Sayde, Chadi</t>
  </si>
  <si>
    <t>csayde@ncsu.edu</t>
  </si>
  <si>
    <t>NC State University</t>
  </si>
  <si>
    <t>Scanlon, Bridget</t>
  </si>
  <si>
    <t>bridget.scanlon@beg.utexas.edu</t>
  </si>
  <si>
    <t>University of Texas</t>
  </si>
  <si>
    <t>Schlechte, Shirley</t>
  </si>
  <si>
    <t>sschlechte@icloud.com</t>
  </si>
  <si>
    <t>ssgrow</t>
  </si>
  <si>
    <t>Schmitter, Petra</t>
  </si>
  <si>
    <t>p.schmitter@cgiar.org</t>
  </si>
  <si>
    <t>International Water Management Institute</t>
  </si>
  <si>
    <t>Belgium</t>
  </si>
  <si>
    <t>Schneider, Jim</t>
  </si>
  <si>
    <t>jschneider@olsson.com</t>
  </si>
  <si>
    <t>Schoengold, Karina</t>
  </si>
  <si>
    <t>kschoengold2@unl.edu</t>
  </si>
  <si>
    <t>Schoenmaker, David</t>
  </si>
  <si>
    <t>d.a.schoenmaker@gmail.com</t>
  </si>
  <si>
    <t>Schreiner, Barbara</t>
  </si>
  <si>
    <t>bschreiner@win-s.org</t>
  </si>
  <si>
    <t>Water Integrity Network</t>
  </si>
  <si>
    <t>Sen, Rintu</t>
  </si>
  <si>
    <t>rsen3@huskers.unl.edu</t>
  </si>
  <si>
    <t>Serrajordia, Pedro</t>
  </si>
  <si>
    <t>pedro@ag4up.com</t>
  </si>
  <si>
    <t>Ag4UP</t>
  </si>
  <si>
    <t>Sharma, Saurabh</t>
  </si>
  <si>
    <t>ssharma19@huskers.unl.edu</t>
  </si>
  <si>
    <t>Sharmeen, Sadia</t>
  </si>
  <si>
    <t>sharmeen.sadia@huskers.unl.edu</t>
  </si>
  <si>
    <t>Siekman, Darren</t>
  </si>
  <si>
    <t>darren.siekman@valmont.com</t>
  </si>
  <si>
    <t>Silva Carvalho, Julian</t>
  </si>
  <si>
    <t>julian.carvalho@agricultura.mg.gov.br</t>
  </si>
  <si>
    <t>SEAPA Secretaria de Agricultura, Pecuária e Abastecimento de MG</t>
  </si>
  <si>
    <t>Silva, Robson</t>
  </si>
  <si>
    <t>robson.oliveira@icrop.com.br</t>
  </si>
  <si>
    <t>Singh, Anmol</t>
  </si>
  <si>
    <t>asingh29@huskers.unl.edu</t>
  </si>
  <si>
    <t>Smith, Bonny</t>
  </si>
  <si>
    <t>bonny.smith@lindsay.com</t>
  </si>
  <si>
    <t>Smith, Kelly</t>
  </si>
  <si>
    <t>ksmith2@unl.edu</t>
  </si>
  <si>
    <t>https://drought.unl.edu</t>
  </si>
  <si>
    <t>Smith, Mark</t>
  </si>
  <si>
    <t>mark.smith@cgiar.org</t>
  </si>
  <si>
    <t>Sri Lanka</t>
  </si>
  <si>
    <t>Snow, Daniel</t>
  </si>
  <si>
    <t>dsnow1@unl.edu</t>
  </si>
  <si>
    <t>Sousek, Mike</t>
  </si>
  <si>
    <t>msousek@lpsnrd.org</t>
  </si>
  <si>
    <t>Lower Platte South NRD</t>
  </si>
  <si>
    <t>Souza Ribeiro, Roberto Cezar</t>
  </si>
  <si>
    <t>roberto.ribeiro@inema.ba.gov.br</t>
  </si>
  <si>
    <t>Instituto de Meio Ambiente e Recursos Hídricos - INEMA</t>
  </si>
  <si>
    <t>Stellbauer, Matt</t>
  </si>
  <si>
    <t>matt.stellbauer@ag.tamu.edu</t>
  </si>
  <si>
    <t>Texas Water Resources Institute</t>
  </si>
  <si>
    <t>Stenberg, Dave</t>
  </si>
  <si>
    <t>dstenberg1@unl.edu</t>
  </si>
  <si>
    <t>Stone, Asa B.</t>
  </si>
  <si>
    <t>astone10@unl.edu</t>
  </si>
  <si>
    <t>Sudbeck, Annette</t>
  </si>
  <si>
    <t>asudbeck@lcnrd.org</t>
  </si>
  <si>
    <t>Lewis &amp; Clark Natural Resources District (LCNRD)</t>
  </si>
  <si>
    <t>Sunny, Bincy</t>
  </si>
  <si>
    <t>bsunny@unomaha.edu</t>
  </si>
  <si>
    <t>Svoboda, Mark</t>
  </si>
  <si>
    <t>msvoboda2@unl.edu</t>
  </si>
  <si>
    <t>National Drought Mitigation Center/UNL</t>
  </si>
  <si>
    <t>Swanson, Justin</t>
  </si>
  <si>
    <t>justin.swanson@nufoundation.org</t>
  </si>
  <si>
    <t>NU Foundation</t>
  </si>
  <si>
    <t>Taghvaeian, Saleh</t>
  </si>
  <si>
    <t>saleh.taghvaeian@unl.edu</t>
  </si>
  <si>
    <t>Taiba, Jabeen</t>
  </si>
  <si>
    <t>jabeen.taiba@unmc.edu</t>
  </si>
  <si>
    <t>Teklay, Simon Ghebrehiwet</t>
  </si>
  <si>
    <t>gtsimon1994@gmail.com</t>
  </si>
  <si>
    <t>Thompson, Anita</t>
  </si>
  <si>
    <t>amthompson2@wisc.edu</t>
  </si>
  <si>
    <t>University of Wisconsin-Madison</t>
  </si>
  <si>
    <t>Timmons-Sims, Tillery</t>
  </si>
  <si>
    <t>contact@sara-conservation.com</t>
  </si>
  <si>
    <t>Sandhills Area Research Association</t>
  </si>
  <si>
    <t>Torpy, Katie</t>
  </si>
  <si>
    <t>katie.torpy@tnc.org</t>
  </si>
  <si>
    <t>The Nature Conservancy, Nebraska Program</t>
  </si>
  <si>
    <t>Troell, Jessica</t>
  </si>
  <si>
    <t>troell@eli.org</t>
  </si>
  <si>
    <t>Environmental Law Institute</t>
  </si>
  <si>
    <t>TSEGAI, DANIEL</t>
  </si>
  <si>
    <t>dtsegai@unccd.int</t>
  </si>
  <si>
    <t>United Nations Convention to Combat Desertification (UNCCD)</t>
  </si>
  <si>
    <t>Tso, Cora</t>
  </si>
  <si>
    <t>cltso@asu.edu</t>
  </si>
  <si>
    <t>Arizona State University</t>
  </si>
  <si>
    <t>Uden, Dan</t>
  </si>
  <si>
    <t>duden2@unl.edu</t>
  </si>
  <si>
    <t>VanWormer, Liz</t>
  </si>
  <si>
    <t>liz.vanwormer@unl.edu</t>
  </si>
  <si>
    <t>Velpuri, Naga</t>
  </si>
  <si>
    <t>n.velpuri@cgiar.org</t>
  </si>
  <si>
    <t>Vezzini, Andrea</t>
  </si>
  <si>
    <t>andrea.vezzini@ennos.ch</t>
  </si>
  <si>
    <t>ennos ag</t>
  </si>
  <si>
    <t>Switzerland</t>
  </si>
  <si>
    <t>Vidor Neto, Aldo Jose</t>
  </si>
  <si>
    <t>vidor.aldo@gmail.com</t>
  </si>
  <si>
    <t>Vigerstol, Kari</t>
  </si>
  <si>
    <t>kvigerstol@tnc.org</t>
  </si>
  <si>
    <t>Vilela Cunha, Rafael</t>
  </si>
  <si>
    <t>rafaelvcunha@yahoo.com.br</t>
  </si>
  <si>
    <t>COOPERVAP Cooperativa Agropecuária do Vale do Paracatu Ltda</t>
  </si>
  <si>
    <t>Vinton, Sherry</t>
  </si>
  <si>
    <t>sherry.vinton@nebraska.gov</t>
  </si>
  <si>
    <t>Nebraska Department of Agriculture</t>
  </si>
  <si>
    <t>Viotto, Fabio</t>
  </si>
  <si>
    <t>fviotto@beconsulting.com.br</t>
  </si>
  <si>
    <t>Be Consulting</t>
  </si>
  <si>
    <t>Vischi, Paulo Cesar</t>
  </si>
  <si>
    <t>paulo@beconsulting.com.br</t>
  </si>
  <si>
    <t>Vogt, Lyndon</t>
  </si>
  <si>
    <t>vogt@cpnrd.org</t>
  </si>
  <si>
    <t>Central Platte Natural Resources District</t>
  </si>
  <si>
    <t>Walia, Harkamal</t>
  </si>
  <si>
    <t>hwalia2@unl.edu</t>
  </si>
  <si>
    <t>Wall, Nicole</t>
  </si>
  <si>
    <t>nwall@olsson.com</t>
  </si>
  <si>
    <t>Wang, Yifan</t>
  </si>
  <si>
    <t>yifan_wang@mckinsey.com</t>
  </si>
  <si>
    <t>McKinsey &amp; Company</t>
  </si>
  <si>
    <t>Webber, Darci</t>
  </si>
  <si>
    <t>dlwebber@illinois.edu</t>
  </si>
  <si>
    <t>University of Illinois Extension</t>
  </si>
  <si>
    <t>Weber, Karrie</t>
  </si>
  <si>
    <t>kweber2@nebraska.edu</t>
  </si>
  <si>
    <t>Wen, Qu</t>
  </si>
  <si>
    <t>qwen3@huskers.unl.edu</t>
  </si>
  <si>
    <t>UNIVERSITY OF NEBRASKA LINCOLN</t>
  </si>
  <si>
    <t>Werlang, Jordon</t>
  </si>
  <si>
    <t>jordon@cetrel.com.br</t>
  </si>
  <si>
    <t>Wilhelm, John</t>
  </si>
  <si>
    <t>jwilhelm@convoyofhope.org</t>
  </si>
  <si>
    <t>Convoy of Hope</t>
  </si>
  <si>
    <t>Williamsen, Tom</t>
  </si>
  <si>
    <t>tawilliamsen@gmail.com</t>
  </si>
  <si>
    <t>Helton &amp; Williamsen PC</t>
  </si>
  <si>
    <t>Wilson, Karen</t>
  </si>
  <si>
    <t>rwkgwilson@gmail.com</t>
  </si>
  <si>
    <t>JEO Consulting Group</t>
  </si>
  <si>
    <t>Wilson, Rick</t>
  </si>
  <si>
    <t>rcwwater@gmail.com</t>
  </si>
  <si>
    <t>Engineers Without Borders</t>
  </si>
  <si>
    <t>Woollen, Neal</t>
  </si>
  <si>
    <t>nwoollen@nsri.nebraskaresearch.gov</t>
  </si>
  <si>
    <t>NU-NSRI</t>
  </si>
  <si>
    <t>Yiannaka, Emie</t>
  </si>
  <si>
    <t>ayiannaka2@unl.edu</t>
  </si>
  <si>
    <t>Zahid, Muhammad</t>
  </si>
  <si>
    <t>mzahid@unmc.edu</t>
  </si>
  <si>
    <t>Zaveri, Esha</t>
  </si>
  <si>
    <t>esha.d.zaveri@gmail.com</t>
  </si>
  <si>
    <t>World Bank Group</t>
  </si>
  <si>
    <t>Zia, Ahmed</t>
  </si>
  <si>
    <t>ahmedzia15568@gmail.com</t>
  </si>
  <si>
    <t>Zia Agriculture Farm</t>
  </si>
  <si>
    <t>Zink, Tracy</t>
  </si>
  <si>
    <t>tzink1212@gmail.com</t>
  </si>
  <si>
    <t>Sunny Heights, LLC</t>
  </si>
  <si>
    <t>Zution Goncalves, Ivo</t>
  </si>
  <si>
    <t>izutiongoncalves2@unl.edu</t>
  </si>
  <si>
    <t>Full Name</t>
  </si>
  <si>
    <t>Email Address</t>
  </si>
  <si>
    <t>Company Name</t>
  </si>
  <si>
    <t>Invitee/Guest</t>
  </si>
  <si>
    <t>Last Registration Date (GMT-06:00) Central [US &amp; Canada]</t>
  </si>
  <si>
    <t>Work Country</t>
  </si>
  <si>
    <t>Amount Paid</t>
  </si>
  <si>
    <t>Amount Ordered</t>
  </si>
  <si>
    <t>Attendance Type</t>
  </si>
  <si>
    <t>In-Person Attendance</t>
  </si>
  <si>
    <t>Home Country</t>
  </si>
  <si>
    <t>Event Information</t>
  </si>
  <si>
    <t>Event Title</t>
  </si>
  <si>
    <t>2025 Water for Food Global Conference</t>
  </si>
  <si>
    <t>Event Code</t>
  </si>
  <si>
    <t>BLNFG2DHNYV</t>
  </si>
  <si>
    <t>Event Capacity</t>
  </si>
  <si>
    <t>420</t>
  </si>
  <si>
    <t>Start Date</t>
  </si>
  <si>
    <t>Apr 28, 2025 7:30 AM</t>
  </si>
  <si>
    <t>End Date</t>
  </si>
  <si>
    <t>May 2, 2025 3:00 PM</t>
  </si>
  <si>
    <t>Event Description</t>
  </si>
  <si>
    <t/>
  </si>
  <si>
    <t>Internal Note</t>
  </si>
  <si>
    <t>23-6811-0001, project code 8017</t>
  </si>
  <si>
    <t>Registration Deadline</t>
  </si>
  <si>
    <t>Apr 17, 2025 2:59 PM</t>
  </si>
  <si>
    <t>Event Location</t>
  </si>
  <si>
    <t>Nebraska Innovation Campus (NIC)</t>
  </si>
  <si>
    <t>Planner First Name</t>
  </si>
  <si>
    <t>Amber</t>
  </si>
  <si>
    <t>Planner Email Address</t>
  </si>
  <si>
    <t>amber.poythress@unl.edu</t>
  </si>
  <si>
    <t>Table of Contents</t>
  </si>
  <si>
    <t>Registration Trend</t>
  </si>
  <si>
    <t>Link to corresponding sheet below</t>
  </si>
</sst>
</file>

<file path=xl/styles.xml><?xml version="1.0" encoding="utf-8"?>
<styleSheet xmlns="http://schemas.openxmlformats.org/spreadsheetml/2006/main">
  <numFmts count="3">
    <numFmt numFmtId="177" formatCode="#,##0.00"/>
    <numFmt numFmtId="178" formatCode="@"/>
    <numFmt numFmtId="179" formatCode="#,##0"/>
  </numFmts>
  <fonts count="12">
    <font>
      <sz val="10"/>
      <color theme="1"/>
      <name val="Arial"/>
      <family val="2"/>
    </font>
    <font>
      <u val="single"/>
      <sz val="10"/>
      <color rgb="FF0000FF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u val="single"/>
      <sz val="12"/>
      <color rgb="FF0000FF"/>
      <name val="Calibri"/>
      <family val="2"/>
    </font>
    <font>
      <b/>
      <sz val="18"/>
      <color theme="1"/>
      <name val="Calibri"/>
      <family val="2"/>
    </font>
    <font>
      <b/>
      <sz val="13"/>
      <color theme="1"/>
      <name val="Calibri"/>
      <family val="2"/>
    </font>
    <font>
      <u val="single"/>
      <sz val="10"/>
      <color rgb="FF0000FF"/>
      <name val="Arial"/>
      <family val="2"/>
    </font>
  </fonts>
  <fills count="5">
    <fill>
      <patternFill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5">
    <xf numFmtId="0" fontId="0" fillId="0" borderId="0" xfId="0"/>
    <xf numFmtId="0" fontId="11" fillId="0" borderId="0" xfId="0" applyFont="1"/>
    <xf numFmtId="22" fontId="7" fillId="0" borderId="0" xfId="0" applyNumberFormat="1" applyFont="1"/>
    <xf numFmtId="179" fontId="7" fillId="0" borderId="0" xfId="0" applyNumberFormat="1" applyFont="1"/>
    <xf numFmtId="22" fontId="7" fillId="2" borderId="0" xfId="0" applyNumberFormat="1" applyFont="1" applyFill="1"/>
    <xf numFmtId="179" fontId="7" fillId="2" borderId="0" xfId="0" applyNumberFormat="1" applyFont="1" applyFill="1"/>
    <xf numFmtId="0" fontId="10" fillId="0" borderId="1" xfId="0" applyFont="1" applyBorder="1" applyAlignment="1">
      <alignment vertical="center" wrapText="1"/>
    </xf>
    <xf numFmtId="178" fontId="7" fillId="0" borderId="0" xfId="0" applyNumberFormat="1" applyFont="1" applyAlignment="1">
      <alignment wrapText="1"/>
    </xf>
    <xf numFmtId="178" fontId="7" fillId="2" borderId="0" xfId="0" applyNumberFormat="1" applyFont="1" applyFill="1" applyAlignment="1">
      <alignment wrapText="1"/>
    </xf>
    <xf numFmtId="0" fontId="9" fillId="0" borderId="0" xfId="0" applyFont="1" applyAlignment="1">
      <alignment vertical="center"/>
    </xf>
    <xf numFmtId="178" fontId="8" fillId="0" borderId="0" xfId="0" applyNumberFormat="1" applyFont="1" applyAlignment="1">
      <alignment wrapText="1"/>
    </xf>
    <xf numFmtId="177" fontId="7" fillId="0" borderId="0" xfId="0" applyNumberFormat="1" applyFont="1"/>
    <xf numFmtId="178" fontId="8" fillId="2" borderId="0" xfId="0" applyNumberFormat="1" applyFont="1" applyFill="1" applyAlignment="1">
      <alignment wrapText="1"/>
    </xf>
    <xf numFmtId="177" fontId="7" fillId="2" borderId="0" xfId="0" applyNumberFormat="1" applyFont="1" applyFill="1"/>
    <xf numFmtId="0" fontId="0" fillId="0" borderId="2" xfId="0" applyBorder="1"/>
    <xf numFmtId="0" fontId="6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5" fillId="4" borderId="0" xfId="0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worksheet" Target="worksheets/sheet4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b="1" u="none" baseline="0">
                <a:latin typeface="Calibri"/>
                <a:ea typeface="Calibri"/>
                <a:cs typeface="Calibri"/>
              </a:rPr>
              <a:t>Registration Trend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numFmt formatCode="General" sourceLinked="1"/>
            <c:txPr>
              <a:bodyPr vert="horz" rot="0"/>
              <a:lstStyle/>
              <a:p>
                <a:pPr algn="ctr">
                  <a:defRPr lang="en-US" u="none" baseline="0">
                    <a:latin typeface="Calibri"/>
                    <a:ea typeface="Calibri"/>
                    <a:cs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'Registration Trend'!$A$39:$A$58</c:f>
              <c:strCache/>
            </c:strRef>
          </c:cat>
          <c:val>
            <c:numRef>
              <c:f>'Registration Trend'!$B$39:$B$58</c:f>
              <c:numCache/>
            </c:numRef>
          </c:val>
          <c:smooth val="0"/>
        </c:ser>
        <c:marker val="1"/>
        <c:axId val="219769991"/>
        <c:axId val="1202754627"/>
      </c:lineChart>
      <c:catAx>
        <c:axId val="219769991"/>
        <c:scaling>
          <c:orientation val="minMax"/>
        </c:scaling>
        <c:delete val="0"/>
        <c:axPos val="b"/>
        <c:title>
          <c:tx>
            <c:rich>
              <a:bodyPr vert="horz" rot="0"/>
              <a:lstStyle/>
              <a:p>
                <a:pPr algn="ctr">
                  <a:defRPr/>
                </a:pPr>
                <a:r>
                  <a:rPr lang="en-US" sz="1200" u="none" baseline="0">
                    <a:latin typeface="Calibri"/>
                    <a:ea typeface="Calibri"/>
                    <a:cs typeface="Calibri"/>
                  </a:rPr>
                  <a:t>Last Registration Date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 sz="1200" u="none" baseline="0">
                <a:latin typeface="Calibri"/>
                <a:ea typeface="Calibri"/>
                <a:cs typeface="Calibri"/>
              </a:defRPr>
            </a:pPr>
          </a:p>
        </c:txPr>
        <c:crossAx val="1202754627"/>
        <c:crosses val="autoZero"/>
        <c:lblOffset val="100"/>
        <c:noMultiLvlLbl val="0"/>
      </c:catAx>
      <c:valAx>
        <c:axId val="1202754627"/>
        <c:scaling>
          <c:orientation val="minMax"/>
          <c:min val="0"/>
        </c:scaling>
        <c:delete val="0"/>
        <c:axPos val="l"/>
        <c:title>
          <c:tx>
            <c:rich>
              <a:bodyPr vert="horz" rot="-5400000"/>
              <a:lstStyle/>
              <a:p>
                <a:pPr algn="ctr">
                  <a:defRPr/>
                </a:pPr>
                <a:r>
                  <a:rPr lang="en-US"/>
                  <a:t>Number of Registrants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majorGridlines>
          <c:spPr>
            <a:ln/>
          </c:spPr>
        </c:majorGridlines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lang="en-US" sz="1200" u="none" baseline="0">
                <a:latin typeface="Calibri"/>
                <a:ea typeface="Calibri"/>
                <a:cs typeface="Calibri"/>
              </a:defRPr>
            </a:pPr>
          </a:p>
        </c:txPr>
        <c:crossAx val="219769991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plotVisOnly val="1"/>
    <c:dispBlanksAs val="gap"/>
    <c:showDLblsOverMax val="0"/>
  </c:chart>
  <c:txPr>
    <a:bodyPr vert="horz" rot="0"/>
    <a:lstStyle/>
    <a:p>
      <a:pPr>
        <a:defRPr lang="en-US" u="none" baseline="0">
          <a:latin typeface="Arial"/>
          <a:ea typeface="Arial"/>
          <a:cs typeface="Arial"/>
        </a:defRPr>
      </a:pPr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b="1" u="none" baseline="0">
                <a:latin typeface="Calibri"/>
                <a:ea typeface="Calibri"/>
                <a:cs typeface="Calibri"/>
              </a:rPr>
              <a:t>Registration Type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0"/>
          <c:dLbls>
            <c:numFmt formatCode="0.0%" sourceLinked="0"/>
            <c:txPr>
              <a:bodyPr vert="horz" rot="0"/>
              <a:lstStyle/>
              <a:p>
                <a:pPr algn="ctr">
                  <a:defRPr lang="en-US" u="none" baseline="0">
                    <a:latin typeface="Calibri"/>
                    <a:ea typeface="Calibri"/>
                    <a:cs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'Registration Type'!$A$39:$A$47</c:f>
              <c:strCache/>
            </c:strRef>
          </c:cat>
          <c:val>
            <c:numRef>
              <c:f>'Registration Type'!$B$39:$B$47</c:f>
              <c:numCache/>
            </c:numRef>
          </c:val>
        </c:ser>
      </c:pieChart>
      <c:spPr>
        <a:solidFill>
          <a:srgbClr val="FFFFFF"/>
        </a:solidFill>
        <a:ln w="12700">
          <a:noFill/>
        </a:ln>
      </c:spPr>
    </c:plotArea>
    <c:legend>
      <c:legendPos val="t"/>
      <c:layout/>
      <c:overlay val="0"/>
      <c:txPr>
        <a:bodyPr vert="horz" rot="0"/>
        <a:lstStyle/>
        <a:p>
          <a:pPr>
            <a:defRPr lang="en-US" sz="1200" u="none" baseline="0">
              <a:latin typeface="Calibri"/>
              <a:ea typeface="Calibri"/>
              <a:cs typeface="Calibri"/>
            </a:defRPr>
          </a:pPr>
        </a:p>
      </c:txPr>
    </c:legend>
    <c:plotVisOnly val="1"/>
    <c:dispBlanksAs val="gap"/>
    <c:showDLblsOverMax val="0"/>
  </c:chart>
  <c:txPr>
    <a:bodyPr vert="horz" rot="0"/>
    <a:lstStyle/>
    <a:p>
      <a:pPr>
        <a:defRPr lang="en-US" u="none" baseline="0">
          <a:latin typeface="Arial"/>
          <a:ea typeface="Arial"/>
          <a:cs typeface="Arial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2</xdr:row>
      <xdr:rowOff>0</xdr:rowOff>
    </xdr:from>
    <xdr:to>
      <xdr:col>12</xdr:col>
      <xdr:colOff>381000</xdr:colOff>
      <xdr:row>37</xdr:row>
      <xdr:rowOff>0</xdr:rowOff>
    </xdr:to>
    <xdr:graphicFrame>
      <xdr:nvGraphicFramePr>
        <xdr:cNvPr id="1" name="Chart 1"/>
        <xdr:cNvGraphicFramePr/>
      </xdr:nvGraphicFramePr>
      <xdr:xfrm>
        <a:off x="0" y="285750"/>
        <a:ext cx="9144000" cy="50006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2</xdr:row>
      <xdr:rowOff>0</xdr:rowOff>
    </xdr:from>
    <xdr:to>
      <xdr:col>9</xdr:col>
      <xdr:colOff>590550</xdr:colOff>
      <xdr:row>37</xdr:row>
      <xdr:rowOff>0</xdr:rowOff>
    </xdr:to>
    <xdr:graphicFrame>
      <xdr:nvGraphicFramePr>
        <xdr:cNvPr id="1" name="Chart 1"/>
        <xdr:cNvGraphicFramePr/>
      </xdr:nvGraphicFramePr>
      <xdr:xfrm>
        <a:off x="0" y="285750"/>
        <a:ext cx="9144000" cy="50006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38:B58" totalsRowShown="0">
  <autoFilter ref="A38:B38"/>
  <tableColumns count="2">
    <tableColumn id="1" name="Last Registration Date"/>
    <tableColumn id="2" name="Registrants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38:B47" totalsRowShown="0">
  <autoFilter ref="A38:B38"/>
  <tableColumns count="2">
    <tableColumn id="1" name="Registration Type"/>
    <tableColumn id="2" name="Registrants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4:L361" totalsRowShown="0">
  <autoFilter ref="A4:L4"/>
  <tableColumns count="12">
    <tableColumn id="1" name="Full Name"/>
    <tableColumn id="2" name="Email Address"/>
    <tableColumn id="3" name="Company Name"/>
    <tableColumn id="4" name="Invitee/Guest"/>
    <tableColumn id="5" name="Registration Type"/>
    <tableColumn id="6" name="Last Registration Date (GMT-06:00) Central [US &amp; Canada]"/>
    <tableColumn id="7" name="Work Country"/>
    <tableColumn id="8" name="Amount Paid"/>
    <tableColumn id="9" name="Amount Ordered"/>
    <tableColumn id="10" name="Attendance Type"/>
    <tableColumn id="11" name="In-Person Attendance"/>
    <tableColumn id="12" name="Home Countr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drawing" Target="../drawings/drawing1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 /><Relationship Id="rId2" Type="http://schemas.openxmlformats.org/officeDocument/2006/relationships/drawing" Target="../drawings/drawing2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hyperlink" Target="https://app.cvent.com/subscribers/events2/Invitee/InviteeDetails?evtstub=f45b731e-4602-4508-b028-7a65d5e9f78c&amp;inviteestub=f05936c5-383f-446d-827b-690c6f165498" TargetMode="External" /><Relationship Id="rId2" Type="http://schemas.openxmlformats.org/officeDocument/2006/relationships/hyperlink" Target="https://app.cvent.com/subscribers/events2/Invitee/InviteeDetails?evtstub=f45b731e-4602-4508-b028-7a65d5e9f78c&amp;inviteestub=11bfec74-e690-4d34-a39f-5b5a0e584d35" TargetMode="External" /><Relationship Id="rId3" Type="http://schemas.openxmlformats.org/officeDocument/2006/relationships/hyperlink" Target="https://app.cvent.com/subscribers/events2/Invitee/InviteeDetails?evtstub=f45b731e-4602-4508-b028-7a65d5e9f78c&amp;inviteestub=c9412235-ede7-4e30-b71f-a602aaa1411d" TargetMode="External" /><Relationship Id="rId4" Type="http://schemas.openxmlformats.org/officeDocument/2006/relationships/hyperlink" Target="https://app.cvent.com/subscribers/events2/Invitee/InviteeDetails?evtstub=f45b731e-4602-4508-b028-7a65d5e9f78c&amp;inviteestub=32db0a81-1eb1-4205-b96e-3c2647142546" TargetMode="External" /><Relationship Id="rId5" Type="http://schemas.openxmlformats.org/officeDocument/2006/relationships/hyperlink" Target="https://app.cvent.com/subscribers/events2/Invitee/InviteeDetails?evtstub=f45b731e-4602-4508-b028-7a65d5e9f78c&amp;inviteestub=e5b95a3c-1676-4065-8450-b572c2e35dd2" TargetMode="External" /><Relationship Id="rId6" Type="http://schemas.openxmlformats.org/officeDocument/2006/relationships/hyperlink" Target="https://app.cvent.com/subscribers/events2/Invitee/InviteeDetails?evtstub=f45b731e-4602-4508-b028-7a65d5e9f78c&amp;inviteestub=5a9acdb1-7d50-483b-81fb-ad33e4935166" TargetMode="External" /><Relationship Id="rId7" Type="http://schemas.openxmlformats.org/officeDocument/2006/relationships/hyperlink" Target="https://app.cvent.com/subscribers/events2/Invitee/InviteeDetails?evtstub=f45b731e-4602-4508-b028-7a65d5e9f78c&amp;inviteestub=251d18d4-b30d-4a68-b222-b3a5120c5de3" TargetMode="External" /><Relationship Id="rId8" Type="http://schemas.openxmlformats.org/officeDocument/2006/relationships/hyperlink" Target="https://app.cvent.com/subscribers/events2/Invitee/InviteeDetails?evtstub=f45b731e-4602-4508-b028-7a65d5e9f78c&amp;inviteestub=fd7e656b-7139-4099-8357-008a2b0895ad" TargetMode="External" /><Relationship Id="rId9" Type="http://schemas.openxmlformats.org/officeDocument/2006/relationships/hyperlink" Target="https://app.cvent.com/subscribers/events2/Invitee/InviteeDetails?evtstub=f45b731e-4602-4508-b028-7a65d5e9f78c&amp;inviteestub=da1205ed-0fd3-44af-ba9a-454aba857a48" TargetMode="External" /><Relationship Id="rId10" Type="http://schemas.openxmlformats.org/officeDocument/2006/relationships/hyperlink" Target="https://app.cvent.com/subscribers/events2/Invitee/InviteeDetails?evtstub=f45b731e-4602-4508-b028-7a65d5e9f78c&amp;inviteestub=a2becfca-e676-4847-9ec3-0643055cb548" TargetMode="External" /><Relationship Id="rId11" Type="http://schemas.openxmlformats.org/officeDocument/2006/relationships/hyperlink" Target="https://app.cvent.com/subscribers/events2/Invitee/InviteeDetails?evtstub=f45b731e-4602-4508-b028-7a65d5e9f78c&amp;inviteestub=43b6780a-8bfd-479f-a18e-7d243577b32b" TargetMode="External" /><Relationship Id="rId12" Type="http://schemas.openxmlformats.org/officeDocument/2006/relationships/hyperlink" Target="https://app.cvent.com/subscribers/events2/Invitee/InviteeDetails?evtstub=f45b731e-4602-4508-b028-7a65d5e9f78c&amp;inviteestub=1d62d785-d8a0-439b-ac00-cc8e451a8190" TargetMode="External" /><Relationship Id="rId13" Type="http://schemas.openxmlformats.org/officeDocument/2006/relationships/hyperlink" Target="https://app.cvent.com/subscribers/events2/Invitee/InviteeDetails?evtstub=f45b731e-4602-4508-b028-7a65d5e9f78c&amp;inviteestub=3e2929fd-9110-4f3b-afd3-00be576de280" TargetMode="External" /><Relationship Id="rId14" Type="http://schemas.openxmlformats.org/officeDocument/2006/relationships/hyperlink" Target="https://app.cvent.com/subscribers/events2/Invitee/InviteeDetails?evtstub=f45b731e-4602-4508-b028-7a65d5e9f78c&amp;inviteestub=fc591309-9a31-496c-b585-2415d97766b7" TargetMode="External" /><Relationship Id="rId15" Type="http://schemas.openxmlformats.org/officeDocument/2006/relationships/hyperlink" Target="https://app.cvent.com/subscribers/events2/Invitee/InviteeDetails?evtstub=f45b731e-4602-4508-b028-7a65d5e9f78c&amp;inviteestub=61b986e2-e529-4819-a134-5bb522ea4eaa" TargetMode="External" /><Relationship Id="rId16" Type="http://schemas.openxmlformats.org/officeDocument/2006/relationships/hyperlink" Target="https://app.cvent.com/subscribers/events2/Invitee/InviteeDetails?evtstub=f45b731e-4602-4508-b028-7a65d5e9f78c&amp;inviteestub=44172f82-3f14-41be-bac8-68f5107f80e0" TargetMode="External" /><Relationship Id="rId17" Type="http://schemas.openxmlformats.org/officeDocument/2006/relationships/hyperlink" Target="https://app.cvent.com/subscribers/events2/Invitee/InviteeDetails?evtstub=f45b731e-4602-4508-b028-7a65d5e9f78c&amp;inviteestub=5b011a0c-47b8-4735-b9cd-52322f1d5eda" TargetMode="External" /><Relationship Id="rId18" Type="http://schemas.openxmlformats.org/officeDocument/2006/relationships/hyperlink" Target="https://app.cvent.com/subscribers/events2/Invitee/InviteeDetails?evtstub=f45b731e-4602-4508-b028-7a65d5e9f78c&amp;inviteestub=922ed155-b011-4e9c-8858-1f83c1c9a5ab" TargetMode="External" /><Relationship Id="rId19" Type="http://schemas.openxmlformats.org/officeDocument/2006/relationships/hyperlink" Target="https://app.cvent.com/subscribers/events2/Invitee/InviteeDetails?evtstub=f45b731e-4602-4508-b028-7a65d5e9f78c&amp;inviteestub=b9ca9633-c009-48d0-bd6c-b709038af17d" TargetMode="External" /><Relationship Id="rId20" Type="http://schemas.openxmlformats.org/officeDocument/2006/relationships/hyperlink" Target="https://app.cvent.com/subscribers/events2/Invitee/InviteeDetails?evtstub=f45b731e-4602-4508-b028-7a65d5e9f78c&amp;inviteestub=4b5957d9-1a28-4cb9-ae68-5d2627df1c62" TargetMode="External" /><Relationship Id="rId21" Type="http://schemas.openxmlformats.org/officeDocument/2006/relationships/hyperlink" Target="https://app.cvent.com/subscribers/events2/Invitee/InviteeDetails?evtstub=f45b731e-4602-4508-b028-7a65d5e9f78c&amp;inviteestub=890bceda-44e4-4f18-a2d7-06e861785722" TargetMode="External" /><Relationship Id="rId22" Type="http://schemas.openxmlformats.org/officeDocument/2006/relationships/hyperlink" Target="https://app.cvent.com/subscribers/events2/Invitee/InviteeDetails?evtstub=f45b731e-4602-4508-b028-7a65d5e9f78c&amp;inviteestub=679f81c3-c223-4922-8fd7-f1dd9fc839df" TargetMode="External" /><Relationship Id="rId23" Type="http://schemas.openxmlformats.org/officeDocument/2006/relationships/hyperlink" Target="https://app.cvent.com/subscribers/events2/Invitee/InviteeDetails?evtstub=f45b731e-4602-4508-b028-7a65d5e9f78c&amp;inviteestub=eb82b410-6a5d-44a2-8ea3-07793824e0d4" TargetMode="External" /><Relationship Id="rId24" Type="http://schemas.openxmlformats.org/officeDocument/2006/relationships/hyperlink" Target="https://app.cvent.com/subscribers/events2/Invitee/InviteeDetails?evtstub=f45b731e-4602-4508-b028-7a65d5e9f78c&amp;inviteestub=54860417-600e-4299-8a9e-44e8f6d5f572" TargetMode="External" /><Relationship Id="rId25" Type="http://schemas.openxmlformats.org/officeDocument/2006/relationships/hyperlink" Target="https://app.cvent.com/subscribers/events2/Invitee/InviteeDetails?evtstub=f45b731e-4602-4508-b028-7a65d5e9f78c&amp;inviteestub=ecdc6ed9-df66-41a2-a139-dcf8dc0906dc" TargetMode="External" /><Relationship Id="rId26" Type="http://schemas.openxmlformats.org/officeDocument/2006/relationships/hyperlink" Target="https://app.cvent.com/subscribers/events2/Invitee/InviteeDetails?evtstub=f45b731e-4602-4508-b028-7a65d5e9f78c&amp;inviteestub=b026cdfb-e3f7-49bb-b1bc-3595bbc841f2" TargetMode="External" /><Relationship Id="rId27" Type="http://schemas.openxmlformats.org/officeDocument/2006/relationships/hyperlink" Target="https://app.cvent.com/subscribers/events2/Invitee/InviteeDetails?evtstub=f45b731e-4602-4508-b028-7a65d5e9f78c&amp;inviteestub=bb5236ae-3c27-40ab-a5d2-b90795f1757c" TargetMode="External" /><Relationship Id="rId28" Type="http://schemas.openxmlformats.org/officeDocument/2006/relationships/hyperlink" Target="https://app.cvent.com/subscribers/events2/Invitee/InviteeDetails?evtstub=f45b731e-4602-4508-b028-7a65d5e9f78c&amp;inviteestub=45aef333-6e5b-44a4-bd04-32453fece1b1" TargetMode="External" /><Relationship Id="rId29" Type="http://schemas.openxmlformats.org/officeDocument/2006/relationships/hyperlink" Target="https://app.cvent.com/subscribers/events2/Invitee/InviteeDetails?evtstub=f45b731e-4602-4508-b028-7a65d5e9f78c&amp;inviteestub=97b24d3d-6c4e-4372-99cf-7ea68d402728" TargetMode="External" /><Relationship Id="rId30" Type="http://schemas.openxmlformats.org/officeDocument/2006/relationships/hyperlink" Target="https://app.cvent.com/subscribers/events2/Invitee/InviteeDetails?evtstub=f45b731e-4602-4508-b028-7a65d5e9f78c&amp;inviteestub=592e4321-c491-44d5-a8ef-6abec18984f3" TargetMode="External" /><Relationship Id="rId31" Type="http://schemas.openxmlformats.org/officeDocument/2006/relationships/hyperlink" Target="https://app.cvent.com/subscribers/events2/Invitee/InviteeDetails?evtstub=f45b731e-4602-4508-b028-7a65d5e9f78c&amp;inviteestub=edc6e368-7558-4b92-912e-a5a605ba150d" TargetMode="External" /><Relationship Id="rId32" Type="http://schemas.openxmlformats.org/officeDocument/2006/relationships/hyperlink" Target="https://app.cvent.com/subscribers/events2/Invitee/InviteeDetails?evtstub=f45b731e-4602-4508-b028-7a65d5e9f78c&amp;inviteestub=30cfe54c-99f1-40d2-911a-12f140d665f9" TargetMode="External" /><Relationship Id="rId33" Type="http://schemas.openxmlformats.org/officeDocument/2006/relationships/hyperlink" Target="https://app.cvent.com/subscribers/events2/Invitee/InviteeDetails?evtstub=f45b731e-4602-4508-b028-7a65d5e9f78c&amp;inviteestub=c935862c-e8b3-41c1-a52c-0667c2dfda47" TargetMode="External" /><Relationship Id="rId34" Type="http://schemas.openxmlformats.org/officeDocument/2006/relationships/hyperlink" Target="https://app.cvent.com/subscribers/events2/Invitee/InviteeDetails?evtstub=f45b731e-4602-4508-b028-7a65d5e9f78c&amp;inviteestub=9c08c39b-32b5-4ff1-81d7-34406c1bd309" TargetMode="External" /><Relationship Id="rId35" Type="http://schemas.openxmlformats.org/officeDocument/2006/relationships/hyperlink" Target="https://app.cvent.com/subscribers/events2/Invitee/InviteeDetails?evtstub=f45b731e-4602-4508-b028-7a65d5e9f78c&amp;inviteestub=09d917d6-196e-49c7-9ccc-498c8c6789df" TargetMode="External" /><Relationship Id="rId36" Type="http://schemas.openxmlformats.org/officeDocument/2006/relationships/hyperlink" Target="https://app.cvent.com/subscribers/events2/Invitee/InviteeDetails?evtstub=f45b731e-4602-4508-b028-7a65d5e9f78c&amp;inviteestub=ca7f0067-14cf-489b-b4dd-2a68cea4acf6" TargetMode="External" /><Relationship Id="rId37" Type="http://schemas.openxmlformats.org/officeDocument/2006/relationships/hyperlink" Target="https://app.cvent.com/subscribers/events2/Invitee/InviteeDetails?evtstub=f45b731e-4602-4508-b028-7a65d5e9f78c&amp;inviteestub=9878db42-de5b-4ec7-98fe-cccbb941ab79" TargetMode="External" /><Relationship Id="rId38" Type="http://schemas.openxmlformats.org/officeDocument/2006/relationships/hyperlink" Target="https://app.cvent.com/subscribers/events2/Invitee/InviteeDetails?evtstub=f45b731e-4602-4508-b028-7a65d5e9f78c&amp;inviteestub=d3138145-806b-4dc0-b775-53b987d592cc" TargetMode="External" /><Relationship Id="rId39" Type="http://schemas.openxmlformats.org/officeDocument/2006/relationships/hyperlink" Target="https://app.cvent.com/subscribers/events2/Invitee/InviteeDetails?evtstub=f45b731e-4602-4508-b028-7a65d5e9f78c&amp;inviteestub=4817f4e3-e9e2-4ae6-aba2-4f5c20dfad1f" TargetMode="External" /><Relationship Id="rId40" Type="http://schemas.openxmlformats.org/officeDocument/2006/relationships/hyperlink" Target="https://app.cvent.com/subscribers/events2/Invitee/InviteeDetails?evtstub=f45b731e-4602-4508-b028-7a65d5e9f78c&amp;inviteestub=fbbd6a9d-558f-44e5-9219-f25aae97b992" TargetMode="External" /><Relationship Id="rId41" Type="http://schemas.openxmlformats.org/officeDocument/2006/relationships/hyperlink" Target="https://app.cvent.com/subscribers/events2/Invitee/InviteeDetails?evtstub=f45b731e-4602-4508-b028-7a65d5e9f78c&amp;inviteestub=9a35396a-6692-4b59-ba4c-d74830cd4ea1" TargetMode="External" /><Relationship Id="rId42" Type="http://schemas.openxmlformats.org/officeDocument/2006/relationships/hyperlink" Target="https://app.cvent.com/subscribers/events2/Invitee/InviteeDetails?evtstub=f45b731e-4602-4508-b028-7a65d5e9f78c&amp;inviteestub=448c81da-e442-48ca-8cc7-d14f87d43c49" TargetMode="External" /><Relationship Id="rId43" Type="http://schemas.openxmlformats.org/officeDocument/2006/relationships/hyperlink" Target="https://app.cvent.com/subscribers/events2/Invitee/InviteeDetails?evtstub=f45b731e-4602-4508-b028-7a65d5e9f78c&amp;inviteestub=360e1456-d05c-48dd-94b5-57fb8687df44" TargetMode="External" /><Relationship Id="rId44" Type="http://schemas.openxmlformats.org/officeDocument/2006/relationships/hyperlink" Target="https://app.cvent.com/subscribers/events2/Invitee/InviteeDetails?evtstub=f45b731e-4602-4508-b028-7a65d5e9f78c&amp;inviteestub=2549b427-a4d9-4313-a848-a439f2834e5e" TargetMode="External" /><Relationship Id="rId45" Type="http://schemas.openxmlformats.org/officeDocument/2006/relationships/hyperlink" Target="https://app.cvent.com/subscribers/events2/Invitee/InviteeDetails?evtstub=f45b731e-4602-4508-b028-7a65d5e9f78c&amp;inviteestub=f3663b41-7710-453f-bd48-521cb3b153c4" TargetMode="External" /><Relationship Id="rId46" Type="http://schemas.openxmlformats.org/officeDocument/2006/relationships/hyperlink" Target="https://app.cvent.com/subscribers/events2/Invitee/InviteeDetails?evtstub=f45b731e-4602-4508-b028-7a65d5e9f78c&amp;inviteestub=53ea7a25-b4a6-41ca-a724-ad2abeba964c" TargetMode="External" /><Relationship Id="rId47" Type="http://schemas.openxmlformats.org/officeDocument/2006/relationships/hyperlink" Target="https://app.cvent.com/subscribers/events2/Invitee/InviteeDetails?evtstub=f45b731e-4602-4508-b028-7a65d5e9f78c&amp;inviteestub=0696b578-4308-4d9d-86b8-a8401f4883b8" TargetMode="External" /><Relationship Id="rId48" Type="http://schemas.openxmlformats.org/officeDocument/2006/relationships/hyperlink" Target="https://app.cvent.com/subscribers/events2/Invitee/InviteeDetails?evtstub=f45b731e-4602-4508-b028-7a65d5e9f78c&amp;inviteestub=81ea04a9-8869-4b65-8e97-d56df6adf706" TargetMode="External" /><Relationship Id="rId49" Type="http://schemas.openxmlformats.org/officeDocument/2006/relationships/hyperlink" Target="https://app.cvent.com/subscribers/events2/Invitee/InviteeDetails?evtstub=f45b731e-4602-4508-b028-7a65d5e9f78c&amp;inviteestub=0075cf8a-5ec5-494a-b87f-5f512b613bbb" TargetMode="External" /><Relationship Id="rId50" Type="http://schemas.openxmlformats.org/officeDocument/2006/relationships/hyperlink" Target="https://app.cvent.com/subscribers/events2/Invitee/InviteeDetails?evtstub=f45b731e-4602-4508-b028-7a65d5e9f78c&amp;inviteestub=f3f60f64-aec0-4a07-b57f-d983d7af6325" TargetMode="External" /><Relationship Id="rId51" Type="http://schemas.openxmlformats.org/officeDocument/2006/relationships/hyperlink" Target="https://app.cvent.com/subscribers/events2/Invitee/InviteeDetails?evtstub=f45b731e-4602-4508-b028-7a65d5e9f78c&amp;inviteestub=ab14a105-5ae7-49b0-aeaa-3657a0e233e4" TargetMode="External" /><Relationship Id="rId52" Type="http://schemas.openxmlformats.org/officeDocument/2006/relationships/hyperlink" Target="https://app.cvent.com/subscribers/events2/Invitee/InviteeDetails?evtstub=f45b731e-4602-4508-b028-7a65d5e9f78c&amp;inviteestub=27caba9f-35ba-445a-a4c8-a157c9ce7bbc" TargetMode="External" /><Relationship Id="rId53" Type="http://schemas.openxmlformats.org/officeDocument/2006/relationships/hyperlink" Target="https://app.cvent.com/subscribers/events2/Invitee/InviteeDetails?evtstub=f45b731e-4602-4508-b028-7a65d5e9f78c&amp;inviteestub=c0ac3e3e-cd00-4a57-a8d0-bf74180ea767" TargetMode="External" /><Relationship Id="rId54" Type="http://schemas.openxmlformats.org/officeDocument/2006/relationships/hyperlink" Target="https://app.cvent.com/subscribers/events2/Invitee/InviteeDetails?evtstub=f45b731e-4602-4508-b028-7a65d5e9f78c&amp;inviteestub=d4d87a7d-64bc-4b21-9b59-581ab0731bd9" TargetMode="External" /><Relationship Id="rId55" Type="http://schemas.openxmlformats.org/officeDocument/2006/relationships/hyperlink" Target="https://app.cvent.com/subscribers/events2/Invitee/InviteeDetails?evtstub=f45b731e-4602-4508-b028-7a65d5e9f78c&amp;inviteestub=d35df7b5-242d-44f4-b339-830dc0f92f12" TargetMode="External" /><Relationship Id="rId56" Type="http://schemas.openxmlformats.org/officeDocument/2006/relationships/hyperlink" Target="https://app.cvent.com/subscribers/events2/Invitee/InviteeDetails?evtstub=f45b731e-4602-4508-b028-7a65d5e9f78c&amp;inviteestub=79db7f8b-5d77-489a-b987-d82ca13213ea" TargetMode="External" /><Relationship Id="rId57" Type="http://schemas.openxmlformats.org/officeDocument/2006/relationships/hyperlink" Target="https://app.cvent.com/subscribers/events2/Invitee/InviteeDetails?evtstub=f45b731e-4602-4508-b028-7a65d5e9f78c&amp;inviteestub=4d61c086-866e-49e7-8c01-2a25bc7e1c74" TargetMode="External" /><Relationship Id="rId58" Type="http://schemas.openxmlformats.org/officeDocument/2006/relationships/hyperlink" Target="https://app.cvent.com/subscribers/events2/Invitee/InviteeDetails?evtstub=f45b731e-4602-4508-b028-7a65d5e9f78c&amp;inviteestub=dcd78b0d-5e97-4db2-8d85-4a290d2e1f27" TargetMode="External" /><Relationship Id="rId59" Type="http://schemas.openxmlformats.org/officeDocument/2006/relationships/hyperlink" Target="https://app.cvent.com/subscribers/events2/Invitee/InviteeDetails?evtstub=f45b731e-4602-4508-b028-7a65d5e9f78c&amp;inviteestub=9709f87a-fde6-4430-8603-31f69719fc25" TargetMode="External" /><Relationship Id="rId60" Type="http://schemas.openxmlformats.org/officeDocument/2006/relationships/hyperlink" Target="https://app.cvent.com/subscribers/events2/Invitee/InviteeDetails?evtstub=f45b731e-4602-4508-b028-7a65d5e9f78c&amp;inviteestub=8dd0235b-609a-4bce-b2ec-0a46262d6699" TargetMode="External" /><Relationship Id="rId61" Type="http://schemas.openxmlformats.org/officeDocument/2006/relationships/hyperlink" Target="https://app.cvent.com/subscribers/events2/Invitee/InviteeDetails?evtstub=f45b731e-4602-4508-b028-7a65d5e9f78c&amp;inviteestub=9f2192ac-d26a-4988-b5e2-0de0c2b3ca59" TargetMode="External" /><Relationship Id="rId62" Type="http://schemas.openxmlformats.org/officeDocument/2006/relationships/hyperlink" Target="https://app.cvent.com/subscribers/events2/Invitee/InviteeDetails?evtstub=f45b731e-4602-4508-b028-7a65d5e9f78c&amp;inviteestub=681427f3-9025-405f-a6f0-2689734823f4" TargetMode="External" /><Relationship Id="rId63" Type="http://schemas.openxmlformats.org/officeDocument/2006/relationships/hyperlink" Target="https://app.cvent.com/subscribers/events2/Invitee/InviteeDetails?evtstub=f45b731e-4602-4508-b028-7a65d5e9f78c&amp;inviteestub=04bb99c0-4bdf-4144-b2ef-bed02f3c78c3" TargetMode="External" /><Relationship Id="rId64" Type="http://schemas.openxmlformats.org/officeDocument/2006/relationships/hyperlink" Target="https://app.cvent.com/subscribers/events2/Invitee/InviteeDetails?evtstub=f45b731e-4602-4508-b028-7a65d5e9f78c&amp;inviteestub=d214bbb7-a17c-48b1-a433-dc192a679d81" TargetMode="External" /><Relationship Id="rId65" Type="http://schemas.openxmlformats.org/officeDocument/2006/relationships/hyperlink" Target="https://app.cvent.com/subscribers/events2/Invitee/InviteeDetails?evtstub=f45b731e-4602-4508-b028-7a65d5e9f78c&amp;inviteestub=947c7b85-3b46-458b-8471-fee3cba4a14e" TargetMode="External" /><Relationship Id="rId66" Type="http://schemas.openxmlformats.org/officeDocument/2006/relationships/hyperlink" Target="https://app.cvent.com/subscribers/events2/Invitee/InviteeDetails?evtstub=f45b731e-4602-4508-b028-7a65d5e9f78c&amp;inviteestub=94f72467-bafa-4e38-993e-e92fc0931ca3" TargetMode="External" /><Relationship Id="rId67" Type="http://schemas.openxmlformats.org/officeDocument/2006/relationships/hyperlink" Target="https://app.cvent.com/subscribers/events2/Invitee/InviteeDetails?evtstub=f45b731e-4602-4508-b028-7a65d5e9f78c&amp;inviteestub=34a240f0-d618-4ded-a706-4b362f898a37" TargetMode="External" /><Relationship Id="rId68" Type="http://schemas.openxmlformats.org/officeDocument/2006/relationships/hyperlink" Target="https://app.cvent.com/subscribers/events2/Invitee/InviteeDetails?evtstub=f45b731e-4602-4508-b028-7a65d5e9f78c&amp;inviteestub=eae0006f-57c2-4235-9eb1-5f6ff67c7ea3" TargetMode="External" /><Relationship Id="rId69" Type="http://schemas.openxmlformats.org/officeDocument/2006/relationships/hyperlink" Target="https://app.cvent.com/subscribers/events2/Invitee/InviteeDetails?evtstub=f45b731e-4602-4508-b028-7a65d5e9f78c&amp;inviteestub=ee64cac1-6b0e-4f6c-b645-71a1698cfbba" TargetMode="External" /><Relationship Id="rId70" Type="http://schemas.openxmlformats.org/officeDocument/2006/relationships/hyperlink" Target="https://app.cvent.com/subscribers/events2/Invitee/InviteeDetails?evtstub=f45b731e-4602-4508-b028-7a65d5e9f78c&amp;inviteestub=82a9a57a-9e74-4c19-a372-9c1c03d8e626" TargetMode="External" /><Relationship Id="rId71" Type="http://schemas.openxmlformats.org/officeDocument/2006/relationships/hyperlink" Target="https://app.cvent.com/subscribers/events2/Invitee/InviteeDetails?evtstub=f45b731e-4602-4508-b028-7a65d5e9f78c&amp;inviteestub=d8c9b504-6a75-4166-b3f6-b2284d89496d" TargetMode="External" /><Relationship Id="rId72" Type="http://schemas.openxmlformats.org/officeDocument/2006/relationships/hyperlink" Target="https://app.cvent.com/subscribers/events2/Invitee/InviteeDetails?evtstub=f45b731e-4602-4508-b028-7a65d5e9f78c&amp;inviteestub=0f9d9e98-4649-4ac6-8da8-fecce2db6950" TargetMode="External" /><Relationship Id="rId73" Type="http://schemas.openxmlformats.org/officeDocument/2006/relationships/hyperlink" Target="https://app.cvent.com/subscribers/events2/Invitee/InviteeDetails?evtstub=f45b731e-4602-4508-b028-7a65d5e9f78c&amp;inviteestub=f8740d8e-2267-43ea-8b0e-d27255f23f33" TargetMode="External" /><Relationship Id="rId74" Type="http://schemas.openxmlformats.org/officeDocument/2006/relationships/hyperlink" Target="https://app.cvent.com/subscribers/events2/Invitee/InviteeDetails?evtstub=f45b731e-4602-4508-b028-7a65d5e9f78c&amp;inviteestub=b72ec7f4-17c7-4c34-a33d-ed9c3fa6d734" TargetMode="External" /><Relationship Id="rId75" Type="http://schemas.openxmlformats.org/officeDocument/2006/relationships/hyperlink" Target="https://app.cvent.com/subscribers/events2/Invitee/InviteeDetails?evtstub=f45b731e-4602-4508-b028-7a65d5e9f78c&amp;inviteestub=96c166eb-9d9c-404c-bc9e-ea115fbae036" TargetMode="External" /><Relationship Id="rId76" Type="http://schemas.openxmlformats.org/officeDocument/2006/relationships/hyperlink" Target="https://app.cvent.com/subscribers/events2/Invitee/InviteeDetails?evtstub=f45b731e-4602-4508-b028-7a65d5e9f78c&amp;inviteestub=5e3abc08-59ec-4ac0-96a6-f932fcb92140" TargetMode="External" /><Relationship Id="rId77" Type="http://schemas.openxmlformats.org/officeDocument/2006/relationships/hyperlink" Target="https://app.cvent.com/subscribers/events2/Invitee/InviteeDetails?evtstub=f45b731e-4602-4508-b028-7a65d5e9f78c&amp;inviteestub=2302220e-3589-49b6-af8a-760b8d415fc6" TargetMode="External" /><Relationship Id="rId78" Type="http://schemas.openxmlformats.org/officeDocument/2006/relationships/hyperlink" Target="https://app.cvent.com/subscribers/events2/Invitee/InviteeDetails?evtstub=f45b731e-4602-4508-b028-7a65d5e9f78c&amp;inviteestub=e569cfbb-149b-40c1-9bea-e39be92ad776" TargetMode="External" /><Relationship Id="rId79" Type="http://schemas.openxmlformats.org/officeDocument/2006/relationships/hyperlink" Target="https://app.cvent.com/subscribers/events2/Invitee/InviteeDetails?evtstub=f45b731e-4602-4508-b028-7a65d5e9f78c&amp;inviteestub=0d72f5f4-00ca-4104-b0ce-0f9943f571e5" TargetMode="External" /><Relationship Id="rId80" Type="http://schemas.openxmlformats.org/officeDocument/2006/relationships/hyperlink" Target="https://app.cvent.com/subscribers/events2/Invitee/InviteeDetails?evtstub=f45b731e-4602-4508-b028-7a65d5e9f78c&amp;inviteestub=73c4cbec-7867-4207-b4f6-7ba5181728c4" TargetMode="External" /><Relationship Id="rId81" Type="http://schemas.openxmlformats.org/officeDocument/2006/relationships/hyperlink" Target="https://app.cvent.com/subscribers/events2/Invitee/InviteeDetails?evtstub=f45b731e-4602-4508-b028-7a65d5e9f78c&amp;inviteestub=a4d74dd5-373c-4a0e-8861-d88158a90394" TargetMode="External" /><Relationship Id="rId82" Type="http://schemas.openxmlformats.org/officeDocument/2006/relationships/hyperlink" Target="https://app.cvent.com/subscribers/events2/Invitee/InviteeDetails?evtstub=f45b731e-4602-4508-b028-7a65d5e9f78c&amp;inviteestub=ac454ff0-151f-4c3f-bca9-a7ba45152999" TargetMode="External" /><Relationship Id="rId83" Type="http://schemas.openxmlformats.org/officeDocument/2006/relationships/hyperlink" Target="https://app.cvent.com/subscribers/events2/Invitee/InviteeDetails?evtstub=f45b731e-4602-4508-b028-7a65d5e9f78c&amp;inviteestub=29573a2b-df08-4c45-a113-06006e23172b" TargetMode="External" /><Relationship Id="rId84" Type="http://schemas.openxmlformats.org/officeDocument/2006/relationships/hyperlink" Target="https://app.cvent.com/subscribers/events2/Invitee/InviteeDetails?evtstub=f45b731e-4602-4508-b028-7a65d5e9f78c&amp;inviteestub=665eee82-23a7-4c6a-9c41-a854a05a0e56" TargetMode="External" /><Relationship Id="rId85" Type="http://schemas.openxmlformats.org/officeDocument/2006/relationships/hyperlink" Target="https://app.cvent.com/subscribers/events2/Invitee/InviteeDetails?evtstub=f45b731e-4602-4508-b028-7a65d5e9f78c&amp;inviteestub=9f5436a3-fc61-4b58-97f2-866904ecdeff" TargetMode="External" /><Relationship Id="rId86" Type="http://schemas.openxmlformats.org/officeDocument/2006/relationships/hyperlink" Target="https://app.cvent.com/subscribers/events2/Invitee/InviteeDetails?evtstub=f45b731e-4602-4508-b028-7a65d5e9f78c&amp;inviteestub=aa95a260-8bc3-4ad8-993e-90a0aa3ea881" TargetMode="External" /><Relationship Id="rId87" Type="http://schemas.openxmlformats.org/officeDocument/2006/relationships/hyperlink" Target="https://app.cvent.com/subscribers/events2/Invitee/InviteeDetails?evtstub=f45b731e-4602-4508-b028-7a65d5e9f78c&amp;inviteestub=6f9416b4-7678-4286-b501-f81e8ff715ca" TargetMode="External" /><Relationship Id="rId88" Type="http://schemas.openxmlformats.org/officeDocument/2006/relationships/hyperlink" Target="https://app.cvent.com/subscribers/events2/Invitee/InviteeDetails?evtstub=f45b731e-4602-4508-b028-7a65d5e9f78c&amp;inviteestub=aee2e677-d72b-4a0f-8fe2-894e7f5f238d" TargetMode="External" /><Relationship Id="rId89" Type="http://schemas.openxmlformats.org/officeDocument/2006/relationships/hyperlink" Target="https://app.cvent.com/subscribers/events2/Invitee/InviteeDetails?evtstub=f45b731e-4602-4508-b028-7a65d5e9f78c&amp;inviteestub=f79e80d8-8d6d-4893-bd48-813a42512a5d" TargetMode="External" /><Relationship Id="rId90" Type="http://schemas.openxmlformats.org/officeDocument/2006/relationships/hyperlink" Target="https://app.cvent.com/subscribers/events2/Invitee/InviteeDetails?evtstub=f45b731e-4602-4508-b028-7a65d5e9f78c&amp;inviteestub=772e4b04-a784-426f-b8d8-96e56620b434" TargetMode="External" /><Relationship Id="rId91" Type="http://schemas.openxmlformats.org/officeDocument/2006/relationships/hyperlink" Target="https://app.cvent.com/subscribers/events2/Invitee/InviteeDetails?evtstub=f45b731e-4602-4508-b028-7a65d5e9f78c&amp;inviteestub=d548963b-9d93-4723-a129-fd4c57e1f791" TargetMode="External" /><Relationship Id="rId92" Type="http://schemas.openxmlformats.org/officeDocument/2006/relationships/hyperlink" Target="https://app.cvent.com/subscribers/events2/Invitee/InviteeDetails?evtstub=f45b731e-4602-4508-b028-7a65d5e9f78c&amp;inviteestub=4683271f-bd54-48cd-b8cc-084d7f17e162" TargetMode="External" /><Relationship Id="rId93" Type="http://schemas.openxmlformats.org/officeDocument/2006/relationships/hyperlink" Target="https://app.cvent.com/subscribers/events2/Invitee/InviteeDetails?evtstub=f45b731e-4602-4508-b028-7a65d5e9f78c&amp;inviteestub=c11c36ab-943b-4fb2-bf89-e6e0168b3323" TargetMode="External" /><Relationship Id="rId94" Type="http://schemas.openxmlformats.org/officeDocument/2006/relationships/hyperlink" Target="https://app.cvent.com/subscribers/events2/Invitee/InviteeDetails?evtstub=f45b731e-4602-4508-b028-7a65d5e9f78c&amp;inviteestub=a20485b9-7e3a-46b7-95c4-c7d11616b912" TargetMode="External" /><Relationship Id="rId95" Type="http://schemas.openxmlformats.org/officeDocument/2006/relationships/hyperlink" Target="https://app.cvent.com/subscribers/events2/Invitee/InviteeDetails?evtstub=f45b731e-4602-4508-b028-7a65d5e9f78c&amp;inviteestub=c8bfc02e-a6ff-4738-850e-d678c6f29749" TargetMode="External" /><Relationship Id="rId96" Type="http://schemas.openxmlformats.org/officeDocument/2006/relationships/hyperlink" Target="https://app.cvent.com/subscribers/events2/Invitee/InviteeDetails?evtstub=f45b731e-4602-4508-b028-7a65d5e9f78c&amp;inviteestub=9a7949d9-b24f-4394-a028-5db9a383e7d2" TargetMode="External" /><Relationship Id="rId97" Type="http://schemas.openxmlformats.org/officeDocument/2006/relationships/hyperlink" Target="https://app.cvent.com/subscribers/events2/Invitee/InviteeDetails?evtstub=f45b731e-4602-4508-b028-7a65d5e9f78c&amp;inviteestub=389f6922-ec5f-4858-b016-c4189108979c" TargetMode="External" /><Relationship Id="rId98" Type="http://schemas.openxmlformats.org/officeDocument/2006/relationships/hyperlink" Target="https://app.cvent.com/subscribers/events2/Invitee/InviteeDetails?evtstub=f45b731e-4602-4508-b028-7a65d5e9f78c&amp;inviteestub=a1acfbad-b5e8-4f0c-9e59-b8d17323e78a" TargetMode="External" /><Relationship Id="rId99" Type="http://schemas.openxmlformats.org/officeDocument/2006/relationships/hyperlink" Target="https://app.cvent.com/subscribers/events2/Invitee/InviteeDetails?evtstub=f45b731e-4602-4508-b028-7a65d5e9f78c&amp;inviteestub=42e6b3f8-5436-4578-9451-97143f6de607" TargetMode="External" /><Relationship Id="rId100" Type="http://schemas.openxmlformats.org/officeDocument/2006/relationships/hyperlink" Target="https://app.cvent.com/subscribers/events2/Invitee/InviteeDetails?evtstub=f45b731e-4602-4508-b028-7a65d5e9f78c&amp;inviteestub=ede86f9c-30ef-448d-8c53-74054e25f6e2" TargetMode="External" /><Relationship Id="rId101" Type="http://schemas.openxmlformats.org/officeDocument/2006/relationships/hyperlink" Target="https://app.cvent.com/subscribers/events2/Invitee/InviteeDetails?evtstub=f45b731e-4602-4508-b028-7a65d5e9f78c&amp;inviteestub=9573312b-c20e-4224-8ccb-722e73606df4" TargetMode="External" /><Relationship Id="rId102" Type="http://schemas.openxmlformats.org/officeDocument/2006/relationships/hyperlink" Target="https://app.cvent.com/subscribers/events2/Invitee/InviteeDetails?evtstub=f45b731e-4602-4508-b028-7a65d5e9f78c&amp;inviteestub=f1012736-8ca5-438c-b383-c3fdf03b91b5" TargetMode="External" /><Relationship Id="rId103" Type="http://schemas.openxmlformats.org/officeDocument/2006/relationships/hyperlink" Target="https://app.cvent.com/subscribers/events2/Invitee/InviteeDetails?evtstub=f45b731e-4602-4508-b028-7a65d5e9f78c&amp;inviteestub=92469438-f741-4503-9ad9-6d21bcfce683" TargetMode="External" /><Relationship Id="rId104" Type="http://schemas.openxmlformats.org/officeDocument/2006/relationships/hyperlink" Target="https://app.cvent.com/subscribers/events2/Invitee/InviteeDetails?evtstub=f45b731e-4602-4508-b028-7a65d5e9f78c&amp;inviteestub=953c1e7d-0090-4ba0-aaa3-d70b38aa7efb" TargetMode="External" /><Relationship Id="rId105" Type="http://schemas.openxmlformats.org/officeDocument/2006/relationships/hyperlink" Target="https://app.cvent.com/subscribers/events2/Invitee/InviteeDetails?evtstub=f45b731e-4602-4508-b028-7a65d5e9f78c&amp;inviteestub=51840126-bbb2-4695-8266-949181724417" TargetMode="External" /><Relationship Id="rId106" Type="http://schemas.openxmlformats.org/officeDocument/2006/relationships/hyperlink" Target="https://app.cvent.com/subscribers/events2/Invitee/InviteeDetails?evtstub=f45b731e-4602-4508-b028-7a65d5e9f78c&amp;inviteestub=6bedf78c-a5f7-43f7-a111-48224ae6d286" TargetMode="External" /><Relationship Id="rId107" Type="http://schemas.openxmlformats.org/officeDocument/2006/relationships/hyperlink" Target="https://app.cvent.com/subscribers/events2/Invitee/InviteeDetails?evtstub=f45b731e-4602-4508-b028-7a65d5e9f78c&amp;inviteestub=dbd3a120-7a42-4fd0-8bb1-7dc9d2a83caf" TargetMode="External" /><Relationship Id="rId108" Type="http://schemas.openxmlformats.org/officeDocument/2006/relationships/hyperlink" Target="https://app.cvent.com/subscribers/events2/Invitee/InviteeDetails?evtstub=f45b731e-4602-4508-b028-7a65d5e9f78c&amp;inviteestub=95bc6fa4-0ac7-4a9c-b05b-13357d7127d1" TargetMode="External" /><Relationship Id="rId109" Type="http://schemas.openxmlformats.org/officeDocument/2006/relationships/hyperlink" Target="https://app.cvent.com/subscribers/events2/Invitee/InviteeDetails?evtstub=f45b731e-4602-4508-b028-7a65d5e9f78c&amp;inviteestub=56f9cfe0-cd57-43a3-a41c-41200578f83c" TargetMode="External" /><Relationship Id="rId110" Type="http://schemas.openxmlformats.org/officeDocument/2006/relationships/hyperlink" Target="https://app.cvent.com/subscribers/events2/Invitee/InviteeDetails?evtstub=f45b731e-4602-4508-b028-7a65d5e9f78c&amp;inviteestub=da66075e-eda0-4ba7-ad4b-2a6bf769eb70" TargetMode="External" /><Relationship Id="rId111" Type="http://schemas.openxmlformats.org/officeDocument/2006/relationships/hyperlink" Target="https://app.cvent.com/subscribers/events2/Invitee/InviteeDetails?evtstub=f45b731e-4602-4508-b028-7a65d5e9f78c&amp;inviteestub=90711738-2b67-4602-8e30-a007e5eeef90" TargetMode="External" /><Relationship Id="rId112" Type="http://schemas.openxmlformats.org/officeDocument/2006/relationships/hyperlink" Target="https://app.cvent.com/subscribers/events2/Invitee/InviteeDetails?evtstub=f45b731e-4602-4508-b028-7a65d5e9f78c&amp;inviteestub=376e8cb2-6e12-4c3a-b37a-f645cee64975" TargetMode="External" /><Relationship Id="rId113" Type="http://schemas.openxmlformats.org/officeDocument/2006/relationships/hyperlink" Target="https://app.cvent.com/subscribers/events2/Invitee/InviteeDetails?evtstub=f45b731e-4602-4508-b028-7a65d5e9f78c&amp;inviteestub=4f90e3bd-7f35-4490-aa2e-a96e7153ac28" TargetMode="External" /><Relationship Id="rId114" Type="http://schemas.openxmlformats.org/officeDocument/2006/relationships/hyperlink" Target="https://app.cvent.com/subscribers/events2/Invitee/InviteeDetails?evtstub=f45b731e-4602-4508-b028-7a65d5e9f78c&amp;inviteestub=ad36d88d-4bff-4891-937c-8acc76cd3e67" TargetMode="External" /><Relationship Id="rId115" Type="http://schemas.openxmlformats.org/officeDocument/2006/relationships/hyperlink" Target="https://app.cvent.com/subscribers/events2/Invitee/InviteeDetails?evtstub=f45b731e-4602-4508-b028-7a65d5e9f78c&amp;inviteestub=717304f8-6380-418c-b986-fbe3e29ab3ce" TargetMode="External" /><Relationship Id="rId116" Type="http://schemas.openxmlformats.org/officeDocument/2006/relationships/hyperlink" Target="https://app.cvent.com/subscribers/events2/Invitee/InviteeDetails?evtstub=f45b731e-4602-4508-b028-7a65d5e9f78c&amp;inviteestub=cad5d94e-1c60-465b-b5f4-d39ea3ed6265" TargetMode="External" /><Relationship Id="rId117" Type="http://schemas.openxmlformats.org/officeDocument/2006/relationships/hyperlink" Target="https://app.cvent.com/subscribers/events2/Invitee/InviteeDetails?evtstub=f45b731e-4602-4508-b028-7a65d5e9f78c&amp;inviteestub=ca06162b-e284-4491-ada8-9e63990e6143" TargetMode="External" /><Relationship Id="rId118" Type="http://schemas.openxmlformats.org/officeDocument/2006/relationships/hyperlink" Target="https://app.cvent.com/subscribers/events2/Invitee/InviteeDetails?evtstub=f45b731e-4602-4508-b028-7a65d5e9f78c&amp;inviteestub=bcb471a0-0bf5-4001-9148-c0b10cc607f0" TargetMode="External" /><Relationship Id="rId119" Type="http://schemas.openxmlformats.org/officeDocument/2006/relationships/hyperlink" Target="https://app.cvent.com/subscribers/events2/Invitee/InviteeDetails?evtstub=f45b731e-4602-4508-b028-7a65d5e9f78c&amp;inviteestub=f14945f1-1aab-4d7f-8be5-711be6bc3596" TargetMode="External" /><Relationship Id="rId120" Type="http://schemas.openxmlformats.org/officeDocument/2006/relationships/hyperlink" Target="https://app.cvent.com/subscribers/events2/Invitee/InviteeDetails?evtstub=f45b731e-4602-4508-b028-7a65d5e9f78c&amp;inviteestub=c7b3b37b-b598-46dd-9e5d-2ce1b0a1b6b0" TargetMode="External" /><Relationship Id="rId121" Type="http://schemas.openxmlformats.org/officeDocument/2006/relationships/hyperlink" Target="https://app.cvent.com/subscribers/events2/Invitee/InviteeDetails?evtstub=f45b731e-4602-4508-b028-7a65d5e9f78c&amp;inviteestub=594540f3-0dbe-42e7-b9fd-8bb202365697" TargetMode="External" /><Relationship Id="rId122" Type="http://schemas.openxmlformats.org/officeDocument/2006/relationships/hyperlink" Target="https://app.cvent.com/subscribers/events2/Invitee/InviteeDetails?evtstub=f45b731e-4602-4508-b028-7a65d5e9f78c&amp;inviteestub=73999a75-0ba5-40e6-883e-8279dc30f209" TargetMode="External" /><Relationship Id="rId123" Type="http://schemas.openxmlformats.org/officeDocument/2006/relationships/hyperlink" Target="https://app.cvent.com/subscribers/events2/Invitee/InviteeDetails?evtstub=f45b731e-4602-4508-b028-7a65d5e9f78c&amp;inviteestub=1f8e3dc8-2aab-4392-ab7a-16c9e14c734f" TargetMode="External" /><Relationship Id="rId124" Type="http://schemas.openxmlformats.org/officeDocument/2006/relationships/hyperlink" Target="https://app.cvent.com/subscribers/events2/Invitee/InviteeDetails?evtstub=f45b731e-4602-4508-b028-7a65d5e9f78c&amp;inviteestub=f01faf10-b59b-4b91-a910-40fb283d2d1a" TargetMode="External" /><Relationship Id="rId125" Type="http://schemas.openxmlformats.org/officeDocument/2006/relationships/hyperlink" Target="https://app.cvent.com/subscribers/events2/Invitee/InviteeDetails?evtstub=f45b731e-4602-4508-b028-7a65d5e9f78c&amp;inviteestub=f9a7dc6c-e27b-439d-9bc8-862e36e2054a" TargetMode="External" /><Relationship Id="rId126" Type="http://schemas.openxmlformats.org/officeDocument/2006/relationships/hyperlink" Target="https://app.cvent.com/subscribers/events2/Invitee/InviteeDetails?evtstub=f45b731e-4602-4508-b028-7a65d5e9f78c&amp;inviteestub=26f31c7d-7444-4f26-bafb-2093f9a633dc" TargetMode="External" /><Relationship Id="rId127" Type="http://schemas.openxmlformats.org/officeDocument/2006/relationships/hyperlink" Target="https://app.cvent.com/subscribers/events2/Invitee/InviteeDetails?evtstub=f45b731e-4602-4508-b028-7a65d5e9f78c&amp;inviteestub=c1f65c83-7720-40ec-8ac0-3da8a25c189d" TargetMode="External" /><Relationship Id="rId128" Type="http://schemas.openxmlformats.org/officeDocument/2006/relationships/hyperlink" Target="https://app.cvent.com/subscribers/events2/Invitee/InviteeDetails?evtstub=f45b731e-4602-4508-b028-7a65d5e9f78c&amp;inviteestub=8cd4cbdc-ba18-444e-b4fe-205eacad8dc6" TargetMode="External" /><Relationship Id="rId129" Type="http://schemas.openxmlformats.org/officeDocument/2006/relationships/hyperlink" Target="https://app.cvent.com/subscribers/events2/Invitee/InviteeDetails?evtstub=f45b731e-4602-4508-b028-7a65d5e9f78c&amp;inviteestub=51070c82-64a9-4ccd-a7ff-163d5b75ed36" TargetMode="External" /><Relationship Id="rId130" Type="http://schemas.openxmlformats.org/officeDocument/2006/relationships/hyperlink" Target="https://app.cvent.com/subscribers/events2/Invitee/InviteeDetails?evtstub=f45b731e-4602-4508-b028-7a65d5e9f78c&amp;inviteestub=8f91b8af-ce52-466f-b7fd-855ccadffb90" TargetMode="External" /><Relationship Id="rId131" Type="http://schemas.openxmlformats.org/officeDocument/2006/relationships/hyperlink" Target="https://app.cvent.com/subscribers/events2/Invitee/InviteeDetails?evtstub=f45b731e-4602-4508-b028-7a65d5e9f78c&amp;inviteestub=d6fcea49-a2f7-49f6-b455-4b256ed2ffc8" TargetMode="External" /><Relationship Id="rId132" Type="http://schemas.openxmlformats.org/officeDocument/2006/relationships/hyperlink" Target="https://app.cvent.com/subscribers/events2/Invitee/InviteeDetails?evtstub=f45b731e-4602-4508-b028-7a65d5e9f78c&amp;inviteestub=eaddbc28-354f-4311-98db-a7229716a0b9" TargetMode="External" /><Relationship Id="rId133" Type="http://schemas.openxmlformats.org/officeDocument/2006/relationships/hyperlink" Target="https://app.cvent.com/subscribers/events2/Invitee/InviteeDetails?evtstub=f45b731e-4602-4508-b028-7a65d5e9f78c&amp;inviteestub=a3d136ae-fe6a-4369-9641-71e718489390" TargetMode="External" /><Relationship Id="rId134" Type="http://schemas.openxmlformats.org/officeDocument/2006/relationships/hyperlink" Target="https://app.cvent.com/subscribers/events2/Invitee/InviteeDetails?evtstub=f45b731e-4602-4508-b028-7a65d5e9f78c&amp;inviteestub=03930654-154c-4ade-9988-e7e137742050" TargetMode="External" /><Relationship Id="rId135" Type="http://schemas.openxmlformats.org/officeDocument/2006/relationships/hyperlink" Target="https://app.cvent.com/subscribers/events2/Invitee/InviteeDetails?evtstub=f45b731e-4602-4508-b028-7a65d5e9f78c&amp;inviteestub=e4039328-7848-42ff-8d3a-304f9549896e" TargetMode="External" /><Relationship Id="rId136" Type="http://schemas.openxmlformats.org/officeDocument/2006/relationships/hyperlink" Target="https://app.cvent.com/subscribers/events2/Invitee/InviteeDetails?evtstub=f45b731e-4602-4508-b028-7a65d5e9f78c&amp;inviteestub=32912891-8a41-4451-b0bc-8d11cc8f2929" TargetMode="External" /><Relationship Id="rId137" Type="http://schemas.openxmlformats.org/officeDocument/2006/relationships/hyperlink" Target="https://app.cvent.com/subscribers/events2/Invitee/InviteeDetails?evtstub=f45b731e-4602-4508-b028-7a65d5e9f78c&amp;inviteestub=d07f46d3-5407-4c2c-8c26-e5787f514358" TargetMode="External" /><Relationship Id="rId138" Type="http://schemas.openxmlformats.org/officeDocument/2006/relationships/hyperlink" Target="https://app.cvent.com/subscribers/events2/Invitee/InviteeDetails?evtstub=f45b731e-4602-4508-b028-7a65d5e9f78c&amp;inviteestub=6250c396-d8b8-47ad-818f-078582861a63" TargetMode="External" /><Relationship Id="rId139" Type="http://schemas.openxmlformats.org/officeDocument/2006/relationships/hyperlink" Target="https://app.cvent.com/subscribers/events2/Invitee/InviteeDetails?evtstub=f45b731e-4602-4508-b028-7a65d5e9f78c&amp;inviteestub=f57f9e29-ae71-4071-941c-77a34e68b9d4" TargetMode="External" /><Relationship Id="rId140" Type="http://schemas.openxmlformats.org/officeDocument/2006/relationships/hyperlink" Target="https://app.cvent.com/subscribers/events2/Invitee/InviteeDetails?evtstub=f45b731e-4602-4508-b028-7a65d5e9f78c&amp;inviteestub=696a4f8b-2a72-4e4c-a99f-4e9e59d49c96" TargetMode="External" /><Relationship Id="rId141" Type="http://schemas.openxmlformats.org/officeDocument/2006/relationships/hyperlink" Target="https://app.cvent.com/subscribers/events2/Invitee/InviteeDetails?evtstub=f45b731e-4602-4508-b028-7a65d5e9f78c&amp;inviteestub=ff786e3c-2ace-4659-b87b-9956dd00927b" TargetMode="External" /><Relationship Id="rId142" Type="http://schemas.openxmlformats.org/officeDocument/2006/relationships/hyperlink" Target="https://app.cvent.com/subscribers/events2/Invitee/InviteeDetails?evtstub=f45b731e-4602-4508-b028-7a65d5e9f78c&amp;inviteestub=6a37c04a-a8e7-4793-b8fd-6dc081360efe" TargetMode="External" /><Relationship Id="rId143" Type="http://schemas.openxmlformats.org/officeDocument/2006/relationships/hyperlink" Target="https://app.cvent.com/subscribers/events2/Invitee/InviteeDetails?evtstub=f45b731e-4602-4508-b028-7a65d5e9f78c&amp;inviteestub=41ae478a-4df1-474f-a9a9-feba074d9339" TargetMode="External" /><Relationship Id="rId144" Type="http://schemas.openxmlformats.org/officeDocument/2006/relationships/hyperlink" Target="https://app.cvent.com/subscribers/events2/Invitee/InviteeDetails?evtstub=f45b731e-4602-4508-b028-7a65d5e9f78c&amp;inviteestub=eaef4c52-32c7-4c4b-a633-65a9865d1cf5" TargetMode="External" /><Relationship Id="rId145" Type="http://schemas.openxmlformats.org/officeDocument/2006/relationships/hyperlink" Target="https://app.cvent.com/subscribers/events2/Invitee/InviteeDetails?evtstub=f45b731e-4602-4508-b028-7a65d5e9f78c&amp;inviteestub=7d616a98-9be1-462c-bbff-1f8f823a8476" TargetMode="External" /><Relationship Id="rId146" Type="http://schemas.openxmlformats.org/officeDocument/2006/relationships/hyperlink" Target="https://app.cvent.com/subscribers/events2/Invitee/InviteeDetails?evtstub=f45b731e-4602-4508-b028-7a65d5e9f78c&amp;inviteestub=3250efc6-ee6c-4a7f-b926-1f654159ca63" TargetMode="External" /><Relationship Id="rId147" Type="http://schemas.openxmlformats.org/officeDocument/2006/relationships/hyperlink" Target="https://app.cvent.com/subscribers/events2/Invitee/InviteeDetails?evtstub=f45b731e-4602-4508-b028-7a65d5e9f78c&amp;inviteestub=404271a4-1a08-4cf6-ab93-b555e2a76039" TargetMode="External" /><Relationship Id="rId148" Type="http://schemas.openxmlformats.org/officeDocument/2006/relationships/hyperlink" Target="https://app.cvent.com/subscribers/events2/Invitee/InviteeDetails?evtstub=f45b731e-4602-4508-b028-7a65d5e9f78c&amp;inviteestub=27036e83-ac11-4571-9e82-9eeb948efbfe" TargetMode="External" /><Relationship Id="rId149" Type="http://schemas.openxmlformats.org/officeDocument/2006/relationships/hyperlink" Target="https://app.cvent.com/subscribers/events2/Invitee/InviteeDetails?evtstub=f45b731e-4602-4508-b028-7a65d5e9f78c&amp;inviteestub=811569f0-4e27-48b8-9af8-27f51b62bd60" TargetMode="External" /><Relationship Id="rId150" Type="http://schemas.openxmlformats.org/officeDocument/2006/relationships/hyperlink" Target="https://app.cvent.com/subscribers/events2/Invitee/InviteeDetails?evtstub=f45b731e-4602-4508-b028-7a65d5e9f78c&amp;inviteestub=1c04d317-8863-4147-99ad-800a379f6cfd" TargetMode="External" /><Relationship Id="rId151" Type="http://schemas.openxmlformats.org/officeDocument/2006/relationships/hyperlink" Target="https://app.cvent.com/subscribers/events2/Invitee/InviteeDetails?evtstub=f45b731e-4602-4508-b028-7a65d5e9f78c&amp;inviteestub=bc8169bd-bb2f-4c95-bb88-a59a5d2abbb1" TargetMode="External" /><Relationship Id="rId152" Type="http://schemas.openxmlformats.org/officeDocument/2006/relationships/hyperlink" Target="https://app.cvent.com/subscribers/events2/Invitee/InviteeDetails?evtstub=f45b731e-4602-4508-b028-7a65d5e9f78c&amp;inviteestub=ed564663-3976-4dc8-965b-cdb337c26353" TargetMode="External" /><Relationship Id="rId153" Type="http://schemas.openxmlformats.org/officeDocument/2006/relationships/hyperlink" Target="https://app.cvent.com/subscribers/events2/Invitee/InviteeDetails?evtstub=f45b731e-4602-4508-b028-7a65d5e9f78c&amp;inviteestub=3a57ef6f-a06b-44d7-852d-661e39d0eb94" TargetMode="External" /><Relationship Id="rId154" Type="http://schemas.openxmlformats.org/officeDocument/2006/relationships/hyperlink" Target="https://app.cvent.com/subscribers/events2/Invitee/InviteeDetails?evtstub=f45b731e-4602-4508-b028-7a65d5e9f78c&amp;inviteestub=1592a762-5b9c-4388-beaf-47c25c01a043" TargetMode="External" /><Relationship Id="rId155" Type="http://schemas.openxmlformats.org/officeDocument/2006/relationships/hyperlink" Target="https://app.cvent.com/subscribers/events2/Invitee/InviteeDetails?evtstub=f45b731e-4602-4508-b028-7a65d5e9f78c&amp;inviteestub=4520d84c-bac0-4074-b35a-1ef1385fd017" TargetMode="External" /><Relationship Id="rId156" Type="http://schemas.openxmlformats.org/officeDocument/2006/relationships/hyperlink" Target="https://app.cvent.com/subscribers/events2/Invitee/InviteeDetails?evtstub=f45b731e-4602-4508-b028-7a65d5e9f78c&amp;inviteestub=4ff4111b-f85d-401a-9c1b-53aadf9c0aa7" TargetMode="External" /><Relationship Id="rId157" Type="http://schemas.openxmlformats.org/officeDocument/2006/relationships/hyperlink" Target="https://app.cvent.com/subscribers/events2/Invitee/InviteeDetails?evtstub=f45b731e-4602-4508-b028-7a65d5e9f78c&amp;inviteestub=2ce101a0-799e-4039-a7ba-1b42f443f1a0" TargetMode="External" /><Relationship Id="rId158" Type="http://schemas.openxmlformats.org/officeDocument/2006/relationships/hyperlink" Target="https://app.cvent.com/subscribers/events2/Invitee/InviteeDetails?evtstub=f45b731e-4602-4508-b028-7a65d5e9f78c&amp;inviteestub=d9344e0a-5c7e-47f6-99be-42f412507cad" TargetMode="External" /><Relationship Id="rId159" Type="http://schemas.openxmlformats.org/officeDocument/2006/relationships/hyperlink" Target="https://app.cvent.com/subscribers/events2/Invitee/InviteeDetails?evtstub=f45b731e-4602-4508-b028-7a65d5e9f78c&amp;inviteestub=7c755cda-068e-469c-89d8-4bf8e7d7d5d1" TargetMode="External" /><Relationship Id="rId160" Type="http://schemas.openxmlformats.org/officeDocument/2006/relationships/hyperlink" Target="https://app.cvent.com/subscribers/events2/Invitee/InviteeDetails?evtstub=f45b731e-4602-4508-b028-7a65d5e9f78c&amp;inviteestub=d0119419-6aa8-4010-ba5f-749291f80b2c" TargetMode="External" /><Relationship Id="rId161" Type="http://schemas.openxmlformats.org/officeDocument/2006/relationships/hyperlink" Target="https://app.cvent.com/subscribers/events2/Invitee/InviteeDetails?evtstub=f45b731e-4602-4508-b028-7a65d5e9f78c&amp;inviteestub=553dc6a1-de33-41cd-8dcf-f3ff477eb501" TargetMode="External" /><Relationship Id="rId162" Type="http://schemas.openxmlformats.org/officeDocument/2006/relationships/hyperlink" Target="https://app.cvent.com/subscribers/events2/Invitee/InviteeDetails?evtstub=f45b731e-4602-4508-b028-7a65d5e9f78c&amp;inviteestub=f936113c-4c32-4d3d-ad4a-67d785c81e96" TargetMode="External" /><Relationship Id="rId163" Type="http://schemas.openxmlformats.org/officeDocument/2006/relationships/hyperlink" Target="https://app.cvent.com/subscribers/events2/Invitee/InviteeDetails?evtstub=f45b731e-4602-4508-b028-7a65d5e9f78c&amp;inviteestub=b1698586-4f2e-45f3-a9ae-9b8c4c8dc23e" TargetMode="External" /><Relationship Id="rId164" Type="http://schemas.openxmlformats.org/officeDocument/2006/relationships/hyperlink" Target="https://app.cvent.com/subscribers/events2/Invitee/InviteeDetails?evtstub=f45b731e-4602-4508-b028-7a65d5e9f78c&amp;inviteestub=b4213831-d615-4e13-9411-a1fd7565e9f9" TargetMode="External" /><Relationship Id="rId165" Type="http://schemas.openxmlformats.org/officeDocument/2006/relationships/hyperlink" Target="https://app.cvent.com/subscribers/events2/Invitee/InviteeDetails?evtstub=f45b731e-4602-4508-b028-7a65d5e9f78c&amp;inviteestub=1eead94e-dbba-4cdc-91aa-a06a27c90b96" TargetMode="External" /><Relationship Id="rId166" Type="http://schemas.openxmlformats.org/officeDocument/2006/relationships/hyperlink" Target="https://app.cvent.com/subscribers/events2/Invitee/InviteeDetails?evtstub=f45b731e-4602-4508-b028-7a65d5e9f78c&amp;inviteestub=949dff1c-9aeb-4196-bf73-b0ee056b08a0" TargetMode="External" /><Relationship Id="rId167" Type="http://schemas.openxmlformats.org/officeDocument/2006/relationships/hyperlink" Target="https://app.cvent.com/subscribers/events2/Invitee/InviteeDetails?evtstub=f45b731e-4602-4508-b028-7a65d5e9f78c&amp;inviteestub=af2300fe-c55e-4b30-ac58-64ca2d8d08ce" TargetMode="External" /><Relationship Id="rId168" Type="http://schemas.openxmlformats.org/officeDocument/2006/relationships/hyperlink" Target="https://app.cvent.com/subscribers/events2/Invitee/InviteeDetails?evtstub=f45b731e-4602-4508-b028-7a65d5e9f78c&amp;inviteestub=7dc7d96f-dafb-4e86-be57-b99c1e528f68" TargetMode="External" /><Relationship Id="rId169" Type="http://schemas.openxmlformats.org/officeDocument/2006/relationships/hyperlink" Target="https://app.cvent.com/subscribers/events2/Invitee/InviteeDetails?evtstub=f45b731e-4602-4508-b028-7a65d5e9f78c&amp;inviteestub=f9cd6cc9-b313-476a-bdc3-4a9405a382e1" TargetMode="External" /><Relationship Id="rId170" Type="http://schemas.openxmlformats.org/officeDocument/2006/relationships/hyperlink" Target="https://app.cvent.com/subscribers/events2/Invitee/InviteeDetails?evtstub=f45b731e-4602-4508-b028-7a65d5e9f78c&amp;inviteestub=717d98de-403b-430c-8faa-5fac003bbf2a" TargetMode="External" /><Relationship Id="rId171" Type="http://schemas.openxmlformats.org/officeDocument/2006/relationships/hyperlink" Target="https://app.cvent.com/subscribers/events2/Invitee/InviteeDetails?evtstub=f45b731e-4602-4508-b028-7a65d5e9f78c&amp;inviteestub=d09e3f5b-902c-4a24-8cc2-ce24a8bc487f" TargetMode="External" /><Relationship Id="rId172" Type="http://schemas.openxmlformats.org/officeDocument/2006/relationships/hyperlink" Target="https://app.cvent.com/subscribers/events2/Invitee/InviteeDetails?evtstub=f45b731e-4602-4508-b028-7a65d5e9f78c&amp;inviteestub=b15fe3e4-8870-41c4-8384-505db9a5700a" TargetMode="External" /><Relationship Id="rId173" Type="http://schemas.openxmlformats.org/officeDocument/2006/relationships/hyperlink" Target="https://app.cvent.com/subscribers/events2/Invitee/InviteeDetails?evtstub=f45b731e-4602-4508-b028-7a65d5e9f78c&amp;inviteestub=dcc55868-c23f-4674-a633-00b4f39e612f" TargetMode="External" /><Relationship Id="rId174" Type="http://schemas.openxmlformats.org/officeDocument/2006/relationships/hyperlink" Target="https://app.cvent.com/subscribers/events2/Invitee/InviteeDetails?evtstub=f45b731e-4602-4508-b028-7a65d5e9f78c&amp;inviteestub=b0648b36-986e-4809-9f2d-bd28f84a4524" TargetMode="External" /><Relationship Id="rId175" Type="http://schemas.openxmlformats.org/officeDocument/2006/relationships/hyperlink" Target="https://app.cvent.com/subscribers/events2/Invitee/InviteeDetails?evtstub=f45b731e-4602-4508-b028-7a65d5e9f78c&amp;inviteestub=4545c1ff-da23-4c74-867d-258d2cc0c060" TargetMode="External" /><Relationship Id="rId176" Type="http://schemas.openxmlformats.org/officeDocument/2006/relationships/hyperlink" Target="https://app.cvent.com/subscribers/events2/Invitee/InviteeDetails?evtstub=f45b731e-4602-4508-b028-7a65d5e9f78c&amp;inviteestub=e3ccbd8e-d03a-4c20-b2da-0b56a014c2da" TargetMode="External" /><Relationship Id="rId177" Type="http://schemas.openxmlformats.org/officeDocument/2006/relationships/hyperlink" Target="https://app.cvent.com/subscribers/events2/Invitee/InviteeDetails?evtstub=f45b731e-4602-4508-b028-7a65d5e9f78c&amp;inviteestub=d50f8139-4d4d-497e-8bb0-ba6b9d82ceec" TargetMode="External" /><Relationship Id="rId178" Type="http://schemas.openxmlformats.org/officeDocument/2006/relationships/hyperlink" Target="https://app.cvent.com/subscribers/events2/Invitee/InviteeDetails?evtstub=f45b731e-4602-4508-b028-7a65d5e9f78c&amp;inviteestub=8b33eae4-1a92-42be-af66-9bb44d4681a5" TargetMode="External" /><Relationship Id="rId179" Type="http://schemas.openxmlformats.org/officeDocument/2006/relationships/hyperlink" Target="https://app.cvent.com/subscribers/events2/Invitee/InviteeDetails?evtstub=f45b731e-4602-4508-b028-7a65d5e9f78c&amp;inviteestub=1f3604d5-b59e-4bec-94b3-38113256a235" TargetMode="External" /><Relationship Id="rId180" Type="http://schemas.openxmlformats.org/officeDocument/2006/relationships/hyperlink" Target="https://app.cvent.com/subscribers/events2/Invitee/InviteeDetails?evtstub=f45b731e-4602-4508-b028-7a65d5e9f78c&amp;inviteestub=0b716859-ea02-408d-b64d-74e586a96066" TargetMode="External" /><Relationship Id="rId181" Type="http://schemas.openxmlformats.org/officeDocument/2006/relationships/hyperlink" Target="https://app.cvent.com/subscribers/events2/Invitee/InviteeDetails?evtstub=f45b731e-4602-4508-b028-7a65d5e9f78c&amp;inviteestub=bee81bd3-1c12-4e56-b688-275942d68fa0" TargetMode="External" /><Relationship Id="rId182" Type="http://schemas.openxmlformats.org/officeDocument/2006/relationships/hyperlink" Target="https://app.cvent.com/subscribers/events2/Invitee/InviteeDetails?evtstub=f45b731e-4602-4508-b028-7a65d5e9f78c&amp;inviteestub=af367a82-9048-4dcf-8686-2804980bb89b" TargetMode="External" /><Relationship Id="rId183" Type="http://schemas.openxmlformats.org/officeDocument/2006/relationships/hyperlink" Target="https://app.cvent.com/subscribers/events2/Invitee/InviteeDetails?evtstub=f45b731e-4602-4508-b028-7a65d5e9f78c&amp;inviteestub=77971f62-ba9f-4cf9-a675-a3e49750b3d4" TargetMode="External" /><Relationship Id="rId184" Type="http://schemas.openxmlformats.org/officeDocument/2006/relationships/hyperlink" Target="https://app.cvent.com/subscribers/events2/Invitee/InviteeDetails?evtstub=f45b731e-4602-4508-b028-7a65d5e9f78c&amp;inviteestub=f88dc3da-fec7-4ac9-9a4e-2f2aebda909a" TargetMode="External" /><Relationship Id="rId185" Type="http://schemas.openxmlformats.org/officeDocument/2006/relationships/hyperlink" Target="https://app.cvent.com/subscribers/events2/Invitee/InviteeDetails?evtstub=f45b731e-4602-4508-b028-7a65d5e9f78c&amp;inviteestub=8873ec0c-ef10-43a3-8a60-4da1641129c3" TargetMode="External" /><Relationship Id="rId186" Type="http://schemas.openxmlformats.org/officeDocument/2006/relationships/hyperlink" Target="https://app.cvent.com/subscribers/events2/Invitee/InviteeDetails?evtstub=f45b731e-4602-4508-b028-7a65d5e9f78c&amp;inviteestub=d9ca50d7-2d6c-47d1-9782-aedb324fe583" TargetMode="External" /><Relationship Id="rId187" Type="http://schemas.openxmlformats.org/officeDocument/2006/relationships/hyperlink" Target="https://app.cvent.com/subscribers/events2/Invitee/InviteeDetails?evtstub=f45b731e-4602-4508-b028-7a65d5e9f78c&amp;inviteestub=cb45ac25-3c94-44ba-8056-2b18a38aacff" TargetMode="External" /><Relationship Id="rId188" Type="http://schemas.openxmlformats.org/officeDocument/2006/relationships/hyperlink" Target="https://app.cvent.com/subscribers/events2/Invitee/InviteeDetails?evtstub=f45b731e-4602-4508-b028-7a65d5e9f78c&amp;inviteestub=a6b90942-f770-49c1-a067-df1d2312802e" TargetMode="External" /><Relationship Id="rId189" Type="http://schemas.openxmlformats.org/officeDocument/2006/relationships/hyperlink" Target="https://app.cvent.com/subscribers/events2/Invitee/InviteeDetails?evtstub=f45b731e-4602-4508-b028-7a65d5e9f78c&amp;inviteestub=3cdeaa90-ae98-41aa-b831-4ee334d95801" TargetMode="External" /><Relationship Id="rId190" Type="http://schemas.openxmlformats.org/officeDocument/2006/relationships/hyperlink" Target="https://app.cvent.com/subscribers/events2/Invitee/InviteeDetails?evtstub=f45b731e-4602-4508-b028-7a65d5e9f78c&amp;inviteestub=b0d4e4ef-46c4-4a48-819e-9d12177ad20b" TargetMode="External" /><Relationship Id="rId191" Type="http://schemas.openxmlformats.org/officeDocument/2006/relationships/hyperlink" Target="https://app.cvent.com/subscribers/events2/Invitee/InviteeDetails?evtstub=f45b731e-4602-4508-b028-7a65d5e9f78c&amp;inviteestub=eb631ab0-d36f-4ec9-9706-e410565d702e" TargetMode="External" /><Relationship Id="rId192" Type="http://schemas.openxmlformats.org/officeDocument/2006/relationships/hyperlink" Target="https://app.cvent.com/subscribers/events2/Invitee/InviteeDetails?evtstub=f45b731e-4602-4508-b028-7a65d5e9f78c&amp;inviteestub=2ee76f8d-b74b-4f40-b520-f6f336c4a562" TargetMode="External" /><Relationship Id="rId193" Type="http://schemas.openxmlformats.org/officeDocument/2006/relationships/hyperlink" Target="https://app.cvent.com/subscribers/events2/Invitee/InviteeDetails?evtstub=f45b731e-4602-4508-b028-7a65d5e9f78c&amp;inviteestub=d2121c07-976b-4680-aea1-389de74a1f5a" TargetMode="External" /><Relationship Id="rId194" Type="http://schemas.openxmlformats.org/officeDocument/2006/relationships/hyperlink" Target="https://app.cvent.com/subscribers/events2/Invitee/InviteeDetails?evtstub=f45b731e-4602-4508-b028-7a65d5e9f78c&amp;inviteestub=336c19fe-e375-463d-8dee-21c8e12b2878" TargetMode="External" /><Relationship Id="rId195" Type="http://schemas.openxmlformats.org/officeDocument/2006/relationships/hyperlink" Target="https://app.cvent.com/subscribers/events2/Invitee/InviteeDetails?evtstub=f45b731e-4602-4508-b028-7a65d5e9f78c&amp;inviteestub=8cf372da-f87c-4703-a158-b69915704142" TargetMode="External" /><Relationship Id="rId196" Type="http://schemas.openxmlformats.org/officeDocument/2006/relationships/hyperlink" Target="https://app.cvent.com/subscribers/events2/Invitee/InviteeDetails?evtstub=f45b731e-4602-4508-b028-7a65d5e9f78c&amp;inviteestub=da03db8e-a7f9-4127-b13a-28fbafda64b7" TargetMode="External" /><Relationship Id="rId197" Type="http://schemas.openxmlformats.org/officeDocument/2006/relationships/hyperlink" Target="https://app.cvent.com/subscribers/events2/Invitee/InviteeDetails?evtstub=f45b731e-4602-4508-b028-7a65d5e9f78c&amp;inviteestub=945ffc0f-864a-415f-911a-188272bb48b1" TargetMode="External" /><Relationship Id="rId198" Type="http://schemas.openxmlformats.org/officeDocument/2006/relationships/hyperlink" Target="https://app.cvent.com/subscribers/events2/Invitee/InviteeDetails?evtstub=f45b731e-4602-4508-b028-7a65d5e9f78c&amp;inviteestub=bec9cb55-d65d-416b-be51-587d687c9fab" TargetMode="External" /><Relationship Id="rId199" Type="http://schemas.openxmlformats.org/officeDocument/2006/relationships/hyperlink" Target="https://app.cvent.com/subscribers/events2/Invitee/InviteeDetails?evtstub=f45b731e-4602-4508-b028-7a65d5e9f78c&amp;inviteestub=ec6ea424-5a5e-4ec1-a8ce-6e0122ab56ec" TargetMode="External" /><Relationship Id="rId200" Type="http://schemas.openxmlformats.org/officeDocument/2006/relationships/hyperlink" Target="https://app.cvent.com/subscribers/events2/Invitee/InviteeDetails?evtstub=f45b731e-4602-4508-b028-7a65d5e9f78c&amp;inviteestub=ed13dd18-391e-445e-a8ff-29c45e8d23af" TargetMode="External" /><Relationship Id="rId201" Type="http://schemas.openxmlformats.org/officeDocument/2006/relationships/hyperlink" Target="https://app.cvent.com/subscribers/events2/Invitee/InviteeDetails?evtstub=f45b731e-4602-4508-b028-7a65d5e9f78c&amp;inviteestub=50ef5bc6-c27a-4c70-af92-3c64bbc72808" TargetMode="External" /><Relationship Id="rId202" Type="http://schemas.openxmlformats.org/officeDocument/2006/relationships/hyperlink" Target="https://app.cvent.com/subscribers/events2/Invitee/InviteeDetails?evtstub=f45b731e-4602-4508-b028-7a65d5e9f78c&amp;inviteestub=460f0e50-d169-47a3-b723-c6c5036e71ea" TargetMode="External" /><Relationship Id="rId203" Type="http://schemas.openxmlformats.org/officeDocument/2006/relationships/hyperlink" Target="https://app.cvent.com/subscribers/events2/Invitee/InviteeDetails?evtstub=f45b731e-4602-4508-b028-7a65d5e9f78c&amp;inviteestub=fc5f881c-4f69-44e7-a7e0-ca31e8e91f47" TargetMode="External" /><Relationship Id="rId204" Type="http://schemas.openxmlformats.org/officeDocument/2006/relationships/hyperlink" Target="https://app.cvent.com/subscribers/events2/Invitee/InviteeDetails?evtstub=f45b731e-4602-4508-b028-7a65d5e9f78c&amp;inviteestub=1cbb3319-517c-47dd-a418-6e2e12d4e78c" TargetMode="External" /><Relationship Id="rId205" Type="http://schemas.openxmlformats.org/officeDocument/2006/relationships/hyperlink" Target="https://app.cvent.com/subscribers/events2/Invitee/InviteeDetails?evtstub=f45b731e-4602-4508-b028-7a65d5e9f78c&amp;inviteestub=499b16e1-4118-4832-8cdf-3c3d40b2184a" TargetMode="External" /><Relationship Id="rId206" Type="http://schemas.openxmlformats.org/officeDocument/2006/relationships/hyperlink" Target="https://app.cvent.com/subscribers/events2/Invitee/InviteeDetails?evtstub=f45b731e-4602-4508-b028-7a65d5e9f78c&amp;inviteestub=c884c861-58d1-45fb-9750-ddf492c3b835" TargetMode="External" /><Relationship Id="rId207" Type="http://schemas.openxmlformats.org/officeDocument/2006/relationships/hyperlink" Target="https://app.cvent.com/subscribers/events2/Invitee/InviteeDetails?evtstub=f45b731e-4602-4508-b028-7a65d5e9f78c&amp;inviteestub=dccb32b9-6cd6-465d-9cbc-793d494707d7" TargetMode="External" /><Relationship Id="rId208" Type="http://schemas.openxmlformats.org/officeDocument/2006/relationships/hyperlink" Target="https://app.cvent.com/subscribers/events2/Invitee/InviteeDetails?evtstub=f45b731e-4602-4508-b028-7a65d5e9f78c&amp;inviteestub=66d2ab6f-c398-4646-af1a-c91ea6b0ab02" TargetMode="External" /><Relationship Id="rId209" Type="http://schemas.openxmlformats.org/officeDocument/2006/relationships/hyperlink" Target="https://app.cvent.com/subscribers/events2/Invitee/InviteeDetails?evtstub=f45b731e-4602-4508-b028-7a65d5e9f78c&amp;inviteestub=2b3f9494-7b47-4e9c-8f79-c548175c5aec" TargetMode="External" /><Relationship Id="rId210" Type="http://schemas.openxmlformats.org/officeDocument/2006/relationships/hyperlink" Target="https://app.cvent.com/subscribers/events2/Invitee/InviteeDetails?evtstub=f45b731e-4602-4508-b028-7a65d5e9f78c&amp;inviteestub=975d340d-282d-4855-91c7-724c5ee0f6f5" TargetMode="External" /><Relationship Id="rId211" Type="http://schemas.openxmlformats.org/officeDocument/2006/relationships/hyperlink" Target="https://app.cvent.com/subscribers/events2/Invitee/InviteeDetails?evtstub=f45b731e-4602-4508-b028-7a65d5e9f78c&amp;inviteestub=0e039466-797b-4359-9c0e-57028023a8fe" TargetMode="External" /><Relationship Id="rId212" Type="http://schemas.openxmlformats.org/officeDocument/2006/relationships/hyperlink" Target="https://app.cvent.com/subscribers/events2/Invitee/InviteeDetails?evtstub=f45b731e-4602-4508-b028-7a65d5e9f78c&amp;inviteestub=d87942b8-d847-4dcf-abf1-9ad02a7eee84" TargetMode="External" /><Relationship Id="rId213" Type="http://schemas.openxmlformats.org/officeDocument/2006/relationships/hyperlink" Target="https://app.cvent.com/subscribers/events2/Invitee/InviteeDetails?evtstub=f45b731e-4602-4508-b028-7a65d5e9f78c&amp;inviteestub=0624eb11-aeff-4c1d-b9d8-859d6a93752d" TargetMode="External" /><Relationship Id="rId214" Type="http://schemas.openxmlformats.org/officeDocument/2006/relationships/hyperlink" Target="https://app.cvent.com/subscribers/events2/Invitee/InviteeDetails?evtstub=f45b731e-4602-4508-b028-7a65d5e9f78c&amp;inviteestub=0a3b1772-294c-46e3-8013-79fad775dc50" TargetMode="External" /><Relationship Id="rId215" Type="http://schemas.openxmlformats.org/officeDocument/2006/relationships/hyperlink" Target="https://app.cvent.com/subscribers/events2/Invitee/InviteeDetails?evtstub=f45b731e-4602-4508-b028-7a65d5e9f78c&amp;inviteestub=0c146440-1c3b-4731-a2f8-ca4940edffa1" TargetMode="External" /><Relationship Id="rId216" Type="http://schemas.openxmlformats.org/officeDocument/2006/relationships/hyperlink" Target="https://app.cvent.com/subscribers/events2/Invitee/InviteeDetails?evtstub=f45b731e-4602-4508-b028-7a65d5e9f78c&amp;inviteestub=0974ea46-07a4-4141-a992-e075facc1b16" TargetMode="External" /><Relationship Id="rId217" Type="http://schemas.openxmlformats.org/officeDocument/2006/relationships/hyperlink" Target="https://app.cvent.com/subscribers/events2/Invitee/InviteeDetails?evtstub=f45b731e-4602-4508-b028-7a65d5e9f78c&amp;inviteestub=ae52137a-1b03-426a-850f-af6ef093fd7a" TargetMode="External" /><Relationship Id="rId218" Type="http://schemas.openxmlformats.org/officeDocument/2006/relationships/hyperlink" Target="https://app.cvent.com/subscribers/events2/Invitee/InviteeDetails?evtstub=f45b731e-4602-4508-b028-7a65d5e9f78c&amp;inviteestub=4d72b097-4339-4b6c-8f8b-34c2e7e65cb1" TargetMode="External" /><Relationship Id="rId219" Type="http://schemas.openxmlformats.org/officeDocument/2006/relationships/hyperlink" Target="https://app.cvent.com/subscribers/events2/Invitee/InviteeDetails?evtstub=f45b731e-4602-4508-b028-7a65d5e9f78c&amp;inviteestub=ca9718f1-e551-4308-a1e6-977d6fcd16e1" TargetMode="External" /><Relationship Id="rId220" Type="http://schemas.openxmlformats.org/officeDocument/2006/relationships/hyperlink" Target="https://app.cvent.com/subscribers/events2/Invitee/InviteeDetails?evtstub=f45b731e-4602-4508-b028-7a65d5e9f78c&amp;inviteestub=5f6c3d57-37d3-4d65-9500-777d59a78ca5" TargetMode="External" /><Relationship Id="rId221" Type="http://schemas.openxmlformats.org/officeDocument/2006/relationships/hyperlink" Target="https://app.cvent.com/subscribers/events2/Invitee/InviteeDetails?evtstub=f45b731e-4602-4508-b028-7a65d5e9f78c&amp;inviteestub=4eb80a80-4205-4b65-a304-df765306956b" TargetMode="External" /><Relationship Id="rId222" Type="http://schemas.openxmlformats.org/officeDocument/2006/relationships/hyperlink" Target="https://app.cvent.com/subscribers/events2/Invitee/InviteeDetails?evtstub=f45b731e-4602-4508-b028-7a65d5e9f78c&amp;inviteestub=6867edd8-3782-4bc6-95a2-01c43f3d0c42" TargetMode="External" /><Relationship Id="rId223" Type="http://schemas.openxmlformats.org/officeDocument/2006/relationships/hyperlink" Target="https://app.cvent.com/subscribers/events2/Invitee/InviteeDetails?evtstub=f45b731e-4602-4508-b028-7a65d5e9f78c&amp;inviteestub=e11ecd1c-26ae-4eb9-8ff0-f80e0c6f29f3" TargetMode="External" /><Relationship Id="rId224" Type="http://schemas.openxmlformats.org/officeDocument/2006/relationships/hyperlink" Target="https://app.cvent.com/subscribers/events2/Invitee/InviteeDetails?evtstub=f45b731e-4602-4508-b028-7a65d5e9f78c&amp;inviteestub=24f6dd82-ff48-4b8c-bb3b-b81f66542062" TargetMode="External" /><Relationship Id="rId225" Type="http://schemas.openxmlformats.org/officeDocument/2006/relationships/hyperlink" Target="https://app.cvent.com/subscribers/events2/Invitee/InviteeDetails?evtstub=f45b731e-4602-4508-b028-7a65d5e9f78c&amp;inviteestub=be4c9db9-007f-4fd4-b5e0-4691d0752a44" TargetMode="External" /><Relationship Id="rId226" Type="http://schemas.openxmlformats.org/officeDocument/2006/relationships/hyperlink" Target="https://app.cvent.com/subscribers/events2/Invitee/InviteeDetails?evtstub=f45b731e-4602-4508-b028-7a65d5e9f78c&amp;inviteestub=ba0e0da5-10a1-431a-99e6-5e07ef849874" TargetMode="External" /><Relationship Id="rId227" Type="http://schemas.openxmlformats.org/officeDocument/2006/relationships/hyperlink" Target="https://app.cvent.com/subscribers/events2/Invitee/InviteeDetails?evtstub=f45b731e-4602-4508-b028-7a65d5e9f78c&amp;inviteestub=b381939e-bfb2-403c-b141-b465f2a629af" TargetMode="External" /><Relationship Id="rId228" Type="http://schemas.openxmlformats.org/officeDocument/2006/relationships/hyperlink" Target="https://app.cvent.com/subscribers/events2/Invitee/InviteeDetails?evtstub=f45b731e-4602-4508-b028-7a65d5e9f78c&amp;inviteestub=7c459ec0-b7b6-4a09-83c5-b5cc9a4f8686" TargetMode="External" /><Relationship Id="rId229" Type="http://schemas.openxmlformats.org/officeDocument/2006/relationships/hyperlink" Target="https://app.cvent.com/subscribers/events2/Invitee/InviteeDetails?evtstub=f45b731e-4602-4508-b028-7a65d5e9f78c&amp;inviteestub=c9a9a832-b6b1-438d-abc4-d19646a2e704" TargetMode="External" /><Relationship Id="rId230" Type="http://schemas.openxmlformats.org/officeDocument/2006/relationships/hyperlink" Target="https://app.cvent.com/subscribers/events2/Invitee/InviteeDetails?evtstub=f45b731e-4602-4508-b028-7a65d5e9f78c&amp;inviteestub=69b7f2c8-6707-4c07-b11b-50d01b65f731" TargetMode="External" /><Relationship Id="rId231" Type="http://schemas.openxmlformats.org/officeDocument/2006/relationships/hyperlink" Target="https://app.cvent.com/subscribers/events2/Invitee/InviteeDetails?evtstub=f45b731e-4602-4508-b028-7a65d5e9f78c&amp;inviteestub=52153631-4677-4eb8-b679-c5b01d836531" TargetMode="External" /><Relationship Id="rId232" Type="http://schemas.openxmlformats.org/officeDocument/2006/relationships/hyperlink" Target="https://app.cvent.com/subscribers/events2/Invitee/InviteeDetails?evtstub=f45b731e-4602-4508-b028-7a65d5e9f78c&amp;inviteestub=19231a7b-c901-4b56-926c-08dad2e1d745" TargetMode="External" /><Relationship Id="rId233" Type="http://schemas.openxmlformats.org/officeDocument/2006/relationships/hyperlink" Target="https://app.cvent.com/subscribers/events2/Invitee/InviteeDetails?evtstub=f45b731e-4602-4508-b028-7a65d5e9f78c&amp;inviteestub=0eb07308-923a-4a23-b390-f36c36afecfe" TargetMode="External" /><Relationship Id="rId234" Type="http://schemas.openxmlformats.org/officeDocument/2006/relationships/hyperlink" Target="https://app.cvent.com/subscribers/events2/Invitee/InviteeDetails?evtstub=f45b731e-4602-4508-b028-7a65d5e9f78c&amp;inviteestub=19424b9f-36ed-4272-9418-b85bacff9353" TargetMode="External" /><Relationship Id="rId235" Type="http://schemas.openxmlformats.org/officeDocument/2006/relationships/hyperlink" Target="https://app.cvent.com/subscribers/events2/Invitee/InviteeDetails?evtstub=f45b731e-4602-4508-b028-7a65d5e9f78c&amp;inviteestub=95846ef7-5d4e-4090-96d7-dc78e5e1e643" TargetMode="External" /><Relationship Id="rId236" Type="http://schemas.openxmlformats.org/officeDocument/2006/relationships/hyperlink" Target="https://app.cvent.com/subscribers/events2/Invitee/InviteeDetails?evtstub=f45b731e-4602-4508-b028-7a65d5e9f78c&amp;inviteestub=4cd00c1e-f5b0-4f16-8678-506bb6ade705" TargetMode="External" /><Relationship Id="rId237" Type="http://schemas.openxmlformats.org/officeDocument/2006/relationships/hyperlink" Target="https://app.cvent.com/subscribers/events2/Invitee/InviteeDetails?evtstub=f45b731e-4602-4508-b028-7a65d5e9f78c&amp;inviteestub=2180457a-4837-4818-b6fb-85c6c8126346" TargetMode="External" /><Relationship Id="rId238" Type="http://schemas.openxmlformats.org/officeDocument/2006/relationships/hyperlink" Target="https://app.cvent.com/subscribers/events2/Invitee/InviteeDetails?evtstub=f45b731e-4602-4508-b028-7a65d5e9f78c&amp;inviteestub=7d1a695a-8cf2-41b6-804e-0760d0b7247e" TargetMode="External" /><Relationship Id="rId239" Type="http://schemas.openxmlformats.org/officeDocument/2006/relationships/hyperlink" Target="https://app.cvent.com/subscribers/events2/Invitee/InviteeDetails?evtstub=f45b731e-4602-4508-b028-7a65d5e9f78c&amp;inviteestub=f7112884-9859-4ee3-87c5-eb6ddf61c4a9" TargetMode="External" /><Relationship Id="rId240" Type="http://schemas.openxmlformats.org/officeDocument/2006/relationships/hyperlink" Target="https://app.cvent.com/subscribers/events2/Invitee/InviteeDetails?evtstub=f45b731e-4602-4508-b028-7a65d5e9f78c&amp;inviteestub=7dc1b21c-d137-46ff-8d7d-d70a47912a14" TargetMode="External" /><Relationship Id="rId241" Type="http://schemas.openxmlformats.org/officeDocument/2006/relationships/hyperlink" Target="https://app.cvent.com/subscribers/events2/Invitee/InviteeDetails?evtstub=f45b731e-4602-4508-b028-7a65d5e9f78c&amp;inviteestub=bd774f34-e6a8-4d6d-80c8-5e9ed44e1b90" TargetMode="External" /><Relationship Id="rId242" Type="http://schemas.openxmlformats.org/officeDocument/2006/relationships/hyperlink" Target="https://app.cvent.com/subscribers/events2/Invitee/InviteeDetails?evtstub=f45b731e-4602-4508-b028-7a65d5e9f78c&amp;inviteestub=3e36b95b-dd54-452c-8d07-f856bdcf1a9e" TargetMode="External" /><Relationship Id="rId243" Type="http://schemas.openxmlformats.org/officeDocument/2006/relationships/hyperlink" Target="https://app.cvent.com/subscribers/events2/Invitee/InviteeDetails?evtstub=f45b731e-4602-4508-b028-7a65d5e9f78c&amp;inviteestub=e587d570-1067-47ae-9593-ecb4051e59c1" TargetMode="External" /><Relationship Id="rId244" Type="http://schemas.openxmlformats.org/officeDocument/2006/relationships/hyperlink" Target="https://app.cvent.com/subscribers/events2/Invitee/InviteeDetails?evtstub=f45b731e-4602-4508-b028-7a65d5e9f78c&amp;inviteestub=f94aa3f5-97ef-4bc0-baf2-edcb46960110" TargetMode="External" /><Relationship Id="rId245" Type="http://schemas.openxmlformats.org/officeDocument/2006/relationships/hyperlink" Target="https://app.cvent.com/subscribers/events2/Invitee/InviteeDetails?evtstub=f45b731e-4602-4508-b028-7a65d5e9f78c&amp;inviteestub=ea0d7025-b26c-42c2-a157-52dd3055f4fd" TargetMode="External" /><Relationship Id="rId246" Type="http://schemas.openxmlformats.org/officeDocument/2006/relationships/hyperlink" Target="https://app.cvent.com/subscribers/events2/Invitee/InviteeDetails?evtstub=f45b731e-4602-4508-b028-7a65d5e9f78c&amp;inviteestub=e1194ddf-ea8c-4995-9b04-70ca345031fd" TargetMode="External" /><Relationship Id="rId247" Type="http://schemas.openxmlformats.org/officeDocument/2006/relationships/hyperlink" Target="https://app.cvent.com/subscribers/events2/Invitee/InviteeDetails?evtstub=f45b731e-4602-4508-b028-7a65d5e9f78c&amp;inviteestub=74e943d0-e131-4d26-a569-a65c7b0cb0f6" TargetMode="External" /><Relationship Id="rId248" Type="http://schemas.openxmlformats.org/officeDocument/2006/relationships/hyperlink" Target="https://app.cvent.com/subscribers/events2/Invitee/InviteeDetails?evtstub=f45b731e-4602-4508-b028-7a65d5e9f78c&amp;inviteestub=d34cb401-0e1c-4f9b-ba2e-0641e7f19364" TargetMode="External" /><Relationship Id="rId249" Type="http://schemas.openxmlformats.org/officeDocument/2006/relationships/hyperlink" Target="https://app.cvent.com/subscribers/events2/Invitee/InviteeDetails?evtstub=f45b731e-4602-4508-b028-7a65d5e9f78c&amp;inviteestub=d398e124-76b7-4aba-9f2e-c245cdf24e7c" TargetMode="External" /><Relationship Id="rId250" Type="http://schemas.openxmlformats.org/officeDocument/2006/relationships/hyperlink" Target="https://app.cvent.com/subscribers/events2/Invitee/InviteeDetails?evtstub=f45b731e-4602-4508-b028-7a65d5e9f78c&amp;inviteestub=3ffd44ac-032b-48ef-ba6e-b17f760ae325" TargetMode="External" /><Relationship Id="rId251" Type="http://schemas.openxmlformats.org/officeDocument/2006/relationships/hyperlink" Target="https://app.cvent.com/subscribers/events2/Invitee/InviteeDetails?evtstub=f45b731e-4602-4508-b028-7a65d5e9f78c&amp;inviteestub=ffbf4577-e3e8-4c14-9d5d-2eed532347df" TargetMode="External" /><Relationship Id="rId252" Type="http://schemas.openxmlformats.org/officeDocument/2006/relationships/hyperlink" Target="https://app.cvent.com/subscribers/events2/Invitee/InviteeDetails?evtstub=f45b731e-4602-4508-b028-7a65d5e9f78c&amp;inviteestub=351f6166-f5ac-4f76-b724-d1ac052af7ae" TargetMode="External" /><Relationship Id="rId253" Type="http://schemas.openxmlformats.org/officeDocument/2006/relationships/hyperlink" Target="https://app.cvent.com/subscribers/events2/Invitee/InviteeDetails?evtstub=f45b731e-4602-4508-b028-7a65d5e9f78c&amp;inviteestub=7207029a-b970-4fb5-b969-99b57511ca5f" TargetMode="External" /><Relationship Id="rId254" Type="http://schemas.openxmlformats.org/officeDocument/2006/relationships/hyperlink" Target="https://app.cvent.com/subscribers/events2/Invitee/InviteeDetails?evtstub=f45b731e-4602-4508-b028-7a65d5e9f78c&amp;inviteestub=002644ce-057a-4d0c-b7d8-ee6553f58528" TargetMode="External" /><Relationship Id="rId255" Type="http://schemas.openxmlformats.org/officeDocument/2006/relationships/hyperlink" Target="https://app.cvent.com/subscribers/events2/Invitee/InviteeDetails?evtstub=f45b731e-4602-4508-b028-7a65d5e9f78c&amp;inviteestub=30dd75ba-b551-4e0b-bc0f-62b761fbe997" TargetMode="External" /><Relationship Id="rId256" Type="http://schemas.openxmlformats.org/officeDocument/2006/relationships/hyperlink" Target="https://app.cvent.com/subscribers/events2/Invitee/InviteeDetails?evtstub=f45b731e-4602-4508-b028-7a65d5e9f78c&amp;inviteestub=86ecdb23-7369-4086-8931-bdcb0a828c46" TargetMode="External" /><Relationship Id="rId257" Type="http://schemas.openxmlformats.org/officeDocument/2006/relationships/hyperlink" Target="https://app.cvent.com/subscribers/events2/Invitee/InviteeDetails?evtstub=f45b731e-4602-4508-b028-7a65d5e9f78c&amp;inviteestub=10b5df29-756b-461b-a98b-94a7bb374bec" TargetMode="External" /><Relationship Id="rId258" Type="http://schemas.openxmlformats.org/officeDocument/2006/relationships/hyperlink" Target="https://app.cvent.com/subscribers/events2/Invitee/InviteeDetails?evtstub=f45b731e-4602-4508-b028-7a65d5e9f78c&amp;inviteestub=55558b1b-96ab-4d3d-bca2-81f766684889" TargetMode="External" /><Relationship Id="rId259" Type="http://schemas.openxmlformats.org/officeDocument/2006/relationships/hyperlink" Target="https://app.cvent.com/subscribers/events2/Invitee/InviteeDetails?evtstub=f45b731e-4602-4508-b028-7a65d5e9f78c&amp;inviteestub=b8a39465-48d2-450a-a032-1ed579683dfe" TargetMode="External" /><Relationship Id="rId260" Type="http://schemas.openxmlformats.org/officeDocument/2006/relationships/hyperlink" Target="https://app.cvent.com/subscribers/events2/Invitee/InviteeDetails?evtstub=f45b731e-4602-4508-b028-7a65d5e9f78c&amp;inviteestub=13915c00-3fbd-416f-ada2-33abb14437ba" TargetMode="External" /><Relationship Id="rId261" Type="http://schemas.openxmlformats.org/officeDocument/2006/relationships/hyperlink" Target="https://app.cvent.com/subscribers/events2/Invitee/InviteeDetails?evtstub=f45b731e-4602-4508-b028-7a65d5e9f78c&amp;inviteestub=3722a893-b535-4891-882a-b0c9ac6d8d61" TargetMode="External" /><Relationship Id="rId262" Type="http://schemas.openxmlformats.org/officeDocument/2006/relationships/hyperlink" Target="https://app.cvent.com/subscribers/events2/Invitee/InviteeDetails?evtstub=f45b731e-4602-4508-b028-7a65d5e9f78c&amp;inviteestub=ae442740-c996-4d9e-b534-a9165e097662" TargetMode="External" /><Relationship Id="rId263" Type="http://schemas.openxmlformats.org/officeDocument/2006/relationships/hyperlink" Target="https://app.cvent.com/subscribers/events2/Invitee/InviteeDetails?evtstub=f45b731e-4602-4508-b028-7a65d5e9f78c&amp;inviteestub=e2e1cc93-c4b6-413b-a102-b480dc16b951" TargetMode="External" /><Relationship Id="rId264" Type="http://schemas.openxmlformats.org/officeDocument/2006/relationships/hyperlink" Target="https://app.cvent.com/subscribers/events2/Invitee/InviteeDetails?evtstub=f45b731e-4602-4508-b028-7a65d5e9f78c&amp;inviteestub=2cc96c97-4ec9-429f-8c41-18ad93dfeabc" TargetMode="External" /><Relationship Id="rId265" Type="http://schemas.openxmlformats.org/officeDocument/2006/relationships/hyperlink" Target="https://app.cvent.com/subscribers/events2/Invitee/InviteeDetails?evtstub=f45b731e-4602-4508-b028-7a65d5e9f78c&amp;inviteestub=7f3bdb6e-23de-4c76-a7b2-7b1f866acec0" TargetMode="External" /><Relationship Id="rId266" Type="http://schemas.openxmlformats.org/officeDocument/2006/relationships/hyperlink" Target="https://app.cvent.com/subscribers/events2/Invitee/InviteeDetails?evtstub=f45b731e-4602-4508-b028-7a65d5e9f78c&amp;inviteestub=ac788be3-5664-4667-bd39-8f7db85e3f3f" TargetMode="External" /><Relationship Id="rId267" Type="http://schemas.openxmlformats.org/officeDocument/2006/relationships/hyperlink" Target="https://app.cvent.com/subscribers/events2/Invitee/InviteeDetails?evtstub=f45b731e-4602-4508-b028-7a65d5e9f78c&amp;inviteestub=297a457a-7276-4abb-bcf7-249f6e4d6bfe" TargetMode="External" /><Relationship Id="rId268" Type="http://schemas.openxmlformats.org/officeDocument/2006/relationships/hyperlink" Target="https://app.cvent.com/subscribers/events2/Invitee/InviteeDetails?evtstub=f45b731e-4602-4508-b028-7a65d5e9f78c&amp;inviteestub=cb6ccac3-d1be-487f-82b7-759d4f8c143f" TargetMode="External" /><Relationship Id="rId269" Type="http://schemas.openxmlformats.org/officeDocument/2006/relationships/hyperlink" Target="https://app.cvent.com/subscribers/events2/Invitee/InviteeDetails?evtstub=f45b731e-4602-4508-b028-7a65d5e9f78c&amp;inviteestub=8b161d40-6b73-4cb3-94e4-ea69c8c33006" TargetMode="External" /><Relationship Id="rId270" Type="http://schemas.openxmlformats.org/officeDocument/2006/relationships/hyperlink" Target="https://app.cvent.com/subscribers/events2/Invitee/InviteeDetails?evtstub=f45b731e-4602-4508-b028-7a65d5e9f78c&amp;inviteestub=1a693ccf-41bc-4310-b109-cc5f391ded75" TargetMode="External" /><Relationship Id="rId271" Type="http://schemas.openxmlformats.org/officeDocument/2006/relationships/hyperlink" Target="https://app.cvent.com/subscribers/events2/Invitee/InviteeDetails?evtstub=f45b731e-4602-4508-b028-7a65d5e9f78c&amp;inviteestub=4ed6c3a5-b355-4c92-b8c9-8f3fab0d851b" TargetMode="External" /><Relationship Id="rId272" Type="http://schemas.openxmlformats.org/officeDocument/2006/relationships/hyperlink" Target="https://app.cvent.com/subscribers/events2/Invitee/InviteeDetails?evtstub=f45b731e-4602-4508-b028-7a65d5e9f78c&amp;inviteestub=9d4d8f82-5bc9-451e-8209-6dd826f1b315" TargetMode="External" /><Relationship Id="rId273" Type="http://schemas.openxmlformats.org/officeDocument/2006/relationships/hyperlink" Target="https://app.cvent.com/subscribers/events2/Invitee/InviteeDetails?evtstub=f45b731e-4602-4508-b028-7a65d5e9f78c&amp;inviteestub=3bb52321-9d24-482d-8055-16a2ecaad69b" TargetMode="External" /><Relationship Id="rId274" Type="http://schemas.openxmlformats.org/officeDocument/2006/relationships/hyperlink" Target="https://app.cvent.com/subscribers/events2/Invitee/InviteeDetails?evtstub=f45b731e-4602-4508-b028-7a65d5e9f78c&amp;inviteestub=b08f30db-3ec1-4a80-9d3d-0084c3313d15" TargetMode="External" /><Relationship Id="rId275" Type="http://schemas.openxmlformats.org/officeDocument/2006/relationships/hyperlink" Target="https://app.cvent.com/subscribers/events2/Invitee/InviteeDetails?evtstub=f45b731e-4602-4508-b028-7a65d5e9f78c&amp;inviteestub=36c1bd1b-738e-4e2e-b3af-ede90b6ad56b" TargetMode="External" /><Relationship Id="rId276" Type="http://schemas.openxmlformats.org/officeDocument/2006/relationships/hyperlink" Target="https://app.cvent.com/subscribers/events2/Invitee/InviteeDetails?evtstub=f45b731e-4602-4508-b028-7a65d5e9f78c&amp;inviteestub=25f99aa6-26ea-4899-a0d1-b8099c813efc" TargetMode="External" /><Relationship Id="rId277" Type="http://schemas.openxmlformats.org/officeDocument/2006/relationships/hyperlink" Target="https://app.cvent.com/subscribers/events2/Invitee/InviteeDetails?evtstub=f45b731e-4602-4508-b028-7a65d5e9f78c&amp;inviteestub=f86cd999-df7e-4d5a-8997-85b6d3ca7dd4" TargetMode="External" /><Relationship Id="rId278" Type="http://schemas.openxmlformats.org/officeDocument/2006/relationships/hyperlink" Target="https://app.cvent.com/subscribers/events2/Invitee/InviteeDetails?evtstub=f45b731e-4602-4508-b028-7a65d5e9f78c&amp;inviteestub=85ccb1c3-559d-4360-a79b-28563f3686d0" TargetMode="External" /><Relationship Id="rId279" Type="http://schemas.openxmlformats.org/officeDocument/2006/relationships/hyperlink" Target="https://app.cvent.com/subscribers/events2/Invitee/InviteeDetails?evtstub=f45b731e-4602-4508-b028-7a65d5e9f78c&amp;inviteestub=a549d2b2-ffdd-4dfe-8fc7-c04e2ee6a181" TargetMode="External" /><Relationship Id="rId280" Type="http://schemas.openxmlformats.org/officeDocument/2006/relationships/hyperlink" Target="https://app.cvent.com/subscribers/events2/Invitee/InviteeDetails?evtstub=f45b731e-4602-4508-b028-7a65d5e9f78c&amp;inviteestub=e2a5c2af-1789-416e-adf1-93f6e07be3d5" TargetMode="External" /><Relationship Id="rId281" Type="http://schemas.openxmlformats.org/officeDocument/2006/relationships/hyperlink" Target="https://app.cvent.com/subscribers/events2/Invitee/InviteeDetails?evtstub=f45b731e-4602-4508-b028-7a65d5e9f78c&amp;inviteestub=c7cadd34-371a-4fae-be60-5c036afbf2f9" TargetMode="External" /><Relationship Id="rId282" Type="http://schemas.openxmlformats.org/officeDocument/2006/relationships/hyperlink" Target="https://app.cvent.com/subscribers/events2/Invitee/InviteeDetails?evtstub=f45b731e-4602-4508-b028-7a65d5e9f78c&amp;inviteestub=d84b6143-bb55-408a-86db-a9dda15136df" TargetMode="External" /><Relationship Id="rId283" Type="http://schemas.openxmlformats.org/officeDocument/2006/relationships/hyperlink" Target="https://app.cvent.com/subscribers/events2/Invitee/InviteeDetails?evtstub=f45b731e-4602-4508-b028-7a65d5e9f78c&amp;inviteestub=e1209664-4c5d-40a6-addd-d95145ea639f" TargetMode="External" /><Relationship Id="rId284" Type="http://schemas.openxmlformats.org/officeDocument/2006/relationships/hyperlink" Target="https://app.cvent.com/subscribers/events2/Invitee/InviteeDetails?evtstub=f45b731e-4602-4508-b028-7a65d5e9f78c&amp;inviteestub=4ad8838f-edb3-45d7-936f-d44bb5b57301" TargetMode="External" /><Relationship Id="rId285" Type="http://schemas.openxmlformats.org/officeDocument/2006/relationships/hyperlink" Target="https://app.cvent.com/subscribers/events2/Invitee/InviteeDetails?evtstub=f45b731e-4602-4508-b028-7a65d5e9f78c&amp;inviteestub=2e696aae-8757-42cc-ae42-5225ff603eb7" TargetMode="External" /><Relationship Id="rId286" Type="http://schemas.openxmlformats.org/officeDocument/2006/relationships/hyperlink" Target="https://app.cvent.com/subscribers/events2/Invitee/InviteeDetails?evtstub=f45b731e-4602-4508-b028-7a65d5e9f78c&amp;inviteestub=f3f6daa8-8bc2-4069-968a-95b6917c2e51" TargetMode="External" /><Relationship Id="rId287" Type="http://schemas.openxmlformats.org/officeDocument/2006/relationships/hyperlink" Target="https://app.cvent.com/subscribers/events2/Invitee/InviteeDetails?evtstub=f45b731e-4602-4508-b028-7a65d5e9f78c&amp;inviteestub=0da9cf06-ffc6-468b-b91b-63a2f17c566a" TargetMode="External" /><Relationship Id="rId288" Type="http://schemas.openxmlformats.org/officeDocument/2006/relationships/hyperlink" Target="https://app.cvent.com/subscribers/events2/Invitee/InviteeDetails?evtstub=f45b731e-4602-4508-b028-7a65d5e9f78c&amp;inviteestub=c468b41c-a290-4f59-b49f-f8bc5bc8c6cf" TargetMode="External" /><Relationship Id="rId289" Type="http://schemas.openxmlformats.org/officeDocument/2006/relationships/hyperlink" Target="https://app.cvent.com/subscribers/events2/Invitee/InviteeDetails?evtstub=f45b731e-4602-4508-b028-7a65d5e9f78c&amp;inviteestub=391d8284-0e98-43bc-a5d9-9fe89ec6ccac" TargetMode="External" /><Relationship Id="rId290" Type="http://schemas.openxmlformats.org/officeDocument/2006/relationships/hyperlink" Target="https://app.cvent.com/subscribers/events2/Invitee/InviteeDetails?evtstub=f45b731e-4602-4508-b028-7a65d5e9f78c&amp;inviteestub=04213956-8900-44c7-9ccd-177644d397cc" TargetMode="External" /><Relationship Id="rId291" Type="http://schemas.openxmlformats.org/officeDocument/2006/relationships/hyperlink" Target="https://app.cvent.com/subscribers/events2/Invitee/InviteeDetails?evtstub=f45b731e-4602-4508-b028-7a65d5e9f78c&amp;inviteestub=55eda97a-f54c-4049-98f9-3f382e6cc28b" TargetMode="External" /><Relationship Id="rId292" Type="http://schemas.openxmlformats.org/officeDocument/2006/relationships/hyperlink" Target="https://app.cvent.com/subscribers/events2/Invitee/InviteeDetails?evtstub=f45b731e-4602-4508-b028-7a65d5e9f78c&amp;inviteestub=82f349da-cafd-4398-8274-a94db7d45d39" TargetMode="External" /><Relationship Id="rId293" Type="http://schemas.openxmlformats.org/officeDocument/2006/relationships/hyperlink" Target="https://app.cvent.com/subscribers/events2/Invitee/InviteeDetails?evtstub=f45b731e-4602-4508-b028-7a65d5e9f78c&amp;inviteestub=3dac1f2f-687c-40ea-ba05-f73588775a44" TargetMode="External" /><Relationship Id="rId294" Type="http://schemas.openxmlformats.org/officeDocument/2006/relationships/hyperlink" Target="https://app.cvent.com/subscribers/events2/Invitee/InviteeDetails?evtstub=f45b731e-4602-4508-b028-7a65d5e9f78c&amp;inviteestub=dd8620fc-3b65-45c8-a6e8-2d3a80314935" TargetMode="External" /><Relationship Id="rId295" Type="http://schemas.openxmlformats.org/officeDocument/2006/relationships/hyperlink" Target="https://app.cvent.com/subscribers/events2/Invitee/InviteeDetails?evtstub=f45b731e-4602-4508-b028-7a65d5e9f78c&amp;inviteestub=93d94510-a1bd-433d-9e48-5fa94d6c6dde" TargetMode="External" /><Relationship Id="rId296" Type="http://schemas.openxmlformats.org/officeDocument/2006/relationships/hyperlink" Target="https://app.cvent.com/subscribers/events2/Invitee/InviteeDetails?evtstub=f45b731e-4602-4508-b028-7a65d5e9f78c&amp;inviteestub=d2edb97a-4556-4013-bb46-b9432549332d" TargetMode="External" /><Relationship Id="rId297" Type="http://schemas.openxmlformats.org/officeDocument/2006/relationships/hyperlink" Target="https://app.cvent.com/subscribers/events2/Invitee/InviteeDetails?evtstub=f45b731e-4602-4508-b028-7a65d5e9f78c&amp;inviteestub=7aba84e3-4ccd-425d-8b68-f420e370d4c2" TargetMode="External" /><Relationship Id="rId298" Type="http://schemas.openxmlformats.org/officeDocument/2006/relationships/hyperlink" Target="https://app.cvent.com/subscribers/events2/Invitee/InviteeDetails?evtstub=f45b731e-4602-4508-b028-7a65d5e9f78c&amp;inviteestub=2d1d2e6c-d23a-4187-a236-0b0bd10d1190" TargetMode="External" /><Relationship Id="rId299" Type="http://schemas.openxmlformats.org/officeDocument/2006/relationships/hyperlink" Target="https://app.cvent.com/subscribers/events2/Invitee/InviteeDetails?evtstub=f45b731e-4602-4508-b028-7a65d5e9f78c&amp;inviteestub=850d11bf-09dd-4b9b-bb4f-b5950c9ce0d3" TargetMode="External" /><Relationship Id="rId300" Type="http://schemas.openxmlformats.org/officeDocument/2006/relationships/hyperlink" Target="https://app.cvent.com/subscribers/events2/Invitee/InviteeDetails?evtstub=f45b731e-4602-4508-b028-7a65d5e9f78c&amp;inviteestub=405e4c23-3156-4d42-a6dd-16bf01a6894e" TargetMode="External" /><Relationship Id="rId301" Type="http://schemas.openxmlformats.org/officeDocument/2006/relationships/hyperlink" Target="https://app.cvent.com/subscribers/events2/Invitee/InviteeDetails?evtstub=f45b731e-4602-4508-b028-7a65d5e9f78c&amp;inviteestub=16f6180a-3c9d-4f0c-81fe-8aea6b7c8041" TargetMode="External" /><Relationship Id="rId302" Type="http://schemas.openxmlformats.org/officeDocument/2006/relationships/hyperlink" Target="https://app.cvent.com/subscribers/events2/Invitee/InviteeDetails?evtstub=f45b731e-4602-4508-b028-7a65d5e9f78c&amp;inviteestub=c2de45e9-ebab-449f-b8d8-ffcdebd1f2b3" TargetMode="External" /><Relationship Id="rId303" Type="http://schemas.openxmlformats.org/officeDocument/2006/relationships/hyperlink" Target="https://app.cvent.com/subscribers/events2/Invitee/InviteeDetails?evtstub=f45b731e-4602-4508-b028-7a65d5e9f78c&amp;inviteestub=12a03907-d426-4142-a797-d12b5e54bd1c" TargetMode="External" /><Relationship Id="rId304" Type="http://schemas.openxmlformats.org/officeDocument/2006/relationships/hyperlink" Target="https://app.cvent.com/subscribers/events2/Invitee/InviteeDetails?evtstub=f45b731e-4602-4508-b028-7a65d5e9f78c&amp;inviteestub=f9b1b767-16e7-4b41-9839-0b292db1fa88" TargetMode="External" /><Relationship Id="rId305" Type="http://schemas.openxmlformats.org/officeDocument/2006/relationships/hyperlink" Target="https://app.cvent.com/subscribers/events2/Invitee/InviteeDetails?evtstub=f45b731e-4602-4508-b028-7a65d5e9f78c&amp;inviteestub=17ce21bd-b6ff-4fb0-9148-ea4908e5f3f3" TargetMode="External" /><Relationship Id="rId306" Type="http://schemas.openxmlformats.org/officeDocument/2006/relationships/hyperlink" Target="https://app.cvent.com/subscribers/events2/Invitee/InviteeDetails?evtstub=f45b731e-4602-4508-b028-7a65d5e9f78c&amp;inviteestub=604171d3-c105-4720-8749-e8954d6e49ab" TargetMode="External" /><Relationship Id="rId307" Type="http://schemas.openxmlformats.org/officeDocument/2006/relationships/hyperlink" Target="https://app.cvent.com/subscribers/events2/Invitee/InviteeDetails?evtstub=f45b731e-4602-4508-b028-7a65d5e9f78c&amp;inviteestub=b931523b-25fb-4dca-8e3e-dcd14f4195a5" TargetMode="External" /><Relationship Id="rId308" Type="http://schemas.openxmlformats.org/officeDocument/2006/relationships/hyperlink" Target="https://app.cvent.com/subscribers/events2/Invitee/InviteeDetails?evtstub=f45b731e-4602-4508-b028-7a65d5e9f78c&amp;inviteestub=2e9e658a-5007-4f9c-a70c-816c804d852c" TargetMode="External" /><Relationship Id="rId309" Type="http://schemas.openxmlformats.org/officeDocument/2006/relationships/hyperlink" Target="https://app.cvent.com/subscribers/events2/Invitee/InviteeDetails?evtstub=f45b731e-4602-4508-b028-7a65d5e9f78c&amp;inviteestub=c1d28e29-fdfe-4f8f-acf2-70fd6c7ced42" TargetMode="External" /><Relationship Id="rId310" Type="http://schemas.openxmlformats.org/officeDocument/2006/relationships/hyperlink" Target="https://app.cvent.com/subscribers/events2/Invitee/InviteeDetails?evtstub=f45b731e-4602-4508-b028-7a65d5e9f78c&amp;inviteestub=98973fe1-42c3-4dd5-ae9f-a3c234af40d4" TargetMode="External" /><Relationship Id="rId311" Type="http://schemas.openxmlformats.org/officeDocument/2006/relationships/hyperlink" Target="https://app.cvent.com/subscribers/events2/Invitee/InviteeDetails?evtstub=f45b731e-4602-4508-b028-7a65d5e9f78c&amp;inviteestub=5becec9a-b7a2-4c85-b988-c18f27e79221" TargetMode="External" /><Relationship Id="rId312" Type="http://schemas.openxmlformats.org/officeDocument/2006/relationships/hyperlink" Target="https://app.cvent.com/subscribers/events2/Invitee/InviteeDetails?evtstub=f45b731e-4602-4508-b028-7a65d5e9f78c&amp;inviteestub=e16c4a94-f6d2-4255-a17d-36fff5f88f5c" TargetMode="External" /><Relationship Id="rId313" Type="http://schemas.openxmlformats.org/officeDocument/2006/relationships/hyperlink" Target="https://app.cvent.com/subscribers/events2/Invitee/InviteeDetails?evtstub=f45b731e-4602-4508-b028-7a65d5e9f78c&amp;inviteestub=86eed856-1f23-4937-96eb-92c5efdcf4c5" TargetMode="External" /><Relationship Id="rId314" Type="http://schemas.openxmlformats.org/officeDocument/2006/relationships/hyperlink" Target="https://app.cvent.com/subscribers/events2/Invitee/InviteeDetails?evtstub=f45b731e-4602-4508-b028-7a65d5e9f78c&amp;inviteestub=3f30d2ac-321b-47bb-a872-62ed5e103d28" TargetMode="External" /><Relationship Id="rId315" Type="http://schemas.openxmlformats.org/officeDocument/2006/relationships/hyperlink" Target="https://app.cvent.com/subscribers/events2/Invitee/InviteeDetails?evtstub=f45b731e-4602-4508-b028-7a65d5e9f78c&amp;inviteestub=3c457f16-77b7-49ef-b40a-706822f40702" TargetMode="External" /><Relationship Id="rId316" Type="http://schemas.openxmlformats.org/officeDocument/2006/relationships/hyperlink" Target="https://app.cvent.com/subscribers/events2/Invitee/InviteeDetails?evtstub=f45b731e-4602-4508-b028-7a65d5e9f78c&amp;inviteestub=a51bf3ef-d034-4e0e-a9d8-463925f0746a" TargetMode="External" /><Relationship Id="rId317" Type="http://schemas.openxmlformats.org/officeDocument/2006/relationships/hyperlink" Target="https://app.cvent.com/subscribers/events2/Invitee/InviteeDetails?evtstub=f45b731e-4602-4508-b028-7a65d5e9f78c&amp;inviteestub=1ca3fe87-38a7-4da0-b9ab-64ddb0f8052c" TargetMode="External" /><Relationship Id="rId318" Type="http://schemas.openxmlformats.org/officeDocument/2006/relationships/hyperlink" Target="https://app.cvent.com/subscribers/events2/Invitee/InviteeDetails?evtstub=f45b731e-4602-4508-b028-7a65d5e9f78c&amp;inviteestub=1d843bdb-f07f-44ad-b801-ab7eeb940129" TargetMode="External" /><Relationship Id="rId319" Type="http://schemas.openxmlformats.org/officeDocument/2006/relationships/hyperlink" Target="https://app.cvent.com/subscribers/events2/Invitee/InviteeDetails?evtstub=f45b731e-4602-4508-b028-7a65d5e9f78c&amp;inviteestub=6d26f456-3d9f-4a2c-8659-a27abf5ccf87" TargetMode="External" /><Relationship Id="rId320" Type="http://schemas.openxmlformats.org/officeDocument/2006/relationships/hyperlink" Target="https://app.cvent.com/subscribers/events2/Invitee/InviteeDetails?evtstub=f45b731e-4602-4508-b028-7a65d5e9f78c&amp;inviteestub=823d4eb7-9ed2-4ecd-a865-bc1add9bfa44" TargetMode="External" /><Relationship Id="rId321" Type="http://schemas.openxmlformats.org/officeDocument/2006/relationships/hyperlink" Target="https://app.cvent.com/subscribers/events2/Invitee/InviteeDetails?evtstub=f45b731e-4602-4508-b028-7a65d5e9f78c&amp;inviteestub=244987de-eb55-4897-9c25-c4872c90e7b3" TargetMode="External" /><Relationship Id="rId322" Type="http://schemas.openxmlformats.org/officeDocument/2006/relationships/hyperlink" Target="https://app.cvent.com/subscribers/events2/Invitee/InviteeDetails?evtstub=f45b731e-4602-4508-b028-7a65d5e9f78c&amp;inviteestub=0f61748c-d356-4310-bfc5-950a6b842b15" TargetMode="External" /><Relationship Id="rId323" Type="http://schemas.openxmlformats.org/officeDocument/2006/relationships/hyperlink" Target="https://app.cvent.com/subscribers/events2/Invitee/InviteeDetails?evtstub=f45b731e-4602-4508-b028-7a65d5e9f78c&amp;inviteestub=3c6f3d71-fdc2-4a2a-a7f9-99058dcf347b" TargetMode="External" /><Relationship Id="rId324" Type="http://schemas.openxmlformats.org/officeDocument/2006/relationships/hyperlink" Target="https://app.cvent.com/subscribers/events2/Invitee/InviteeDetails?evtstub=f45b731e-4602-4508-b028-7a65d5e9f78c&amp;inviteestub=a9505851-00e8-490d-a4b1-afa56177f2d2" TargetMode="External" /><Relationship Id="rId325" Type="http://schemas.openxmlformats.org/officeDocument/2006/relationships/hyperlink" Target="https://app.cvent.com/subscribers/events2/Invitee/InviteeDetails?evtstub=f45b731e-4602-4508-b028-7a65d5e9f78c&amp;inviteestub=a3e0e5fe-6afa-4dae-a47a-758a234e93bc" TargetMode="External" /><Relationship Id="rId326" Type="http://schemas.openxmlformats.org/officeDocument/2006/relationships/hyperlink" Target="https://app.cvent.com/subscribers/events2/Invitee/InviteeDetails?evtstub=f45b731e-4602-4508-b028-7a65d5e9f78c&amp;inviteestub=23b90c3b-6b31-478b-bfa6-0b0fb87b4b20" TargetMode="External" /><Relationship Id="rId327" Type="http://schemas.openxmlformats.org/officeDocument/2006/relationships/hyperlink" Target="https://app.cvent.com/subscribers/events2/Invitee/InviteeDetails?evtstub=f45b731e-4602-4508-b028-7a65d5e9f78c&amp;inviteestub=f8199337-6db5-44a3-8565-ab3f3a3177eb" TargetMode="External" /><Relationship Id="rId328" Type="http://schemas.openxmlformats.org/officeDocument/2006/relationships/hyperlink" Target="https://app.cvent.com/subscribers/events2/Invitee/InviteeDetails?evtstub=f45b731e-4602-4508-b028-7a65d5e9f78c&amp;inviteestub=cf614684-7bc8-4d1c-bf42-e238a24c4836" TargetMode="External" /><Relationship Id="rId329" Type="http://schemas.openxmlformats.org/officeDocument/2006/relationships/hyperlink" Target="https://app.cvent.com/subscribers/events2/Invitee/InviteeDetails?evtstub=f45b731e-4602-4508-b028-7a65d5e9f78c&amp;inviteestub=47e767eb-ab76-461f-8e41-049fda0398ee" TargetMode="External" /><Relationship Id="rId330" Type="http://schemas.openxmlformats.org/officeDocument/2006/relationships/hyperlink" Target="https://app.cvent.com/subscribers/events2/Invitee/InviteeDetails?evtstub=f45b731e-4602-4508-b028-7a65d5e9f78c&amp;inviteestub=62dd5d77-45a0-4330-81b8-d415fc204b99" TargetMode="External" /><Relationship Id="rId331" Type="http://schemas.openxmlformats.org/officeDocument/2006/relationships/hyperlink" Target="https://app.cvent.com/subscribers/events2/Invitee/InviteeDetails?evtstub=f45b731e-4602-4508-b028-7a65d5e9f78c&amp;inviteestub=16a4148e-7309-49c9-81d9-9d8467cd2eb9" TargetMode="External" /><Relationship Id="rId332" Type="http://schemas.openxmlformats.org/officeDocument/2006/relationships/hyperlink" Target="https://app.cvent.com/subscribers/events2/Invitee/InviteeDetails?evtstub=f45b731e-4602-4508-b028-7a65d5e9f78c&amp;inviteestub=9274a139-c868-41ed-b967-af1fd0d23f9b" TargetMode="External" /><Relationship Id="rId333" Type="http://schemas.openxmlformats.org/officeDocument/2006/relationships/hyperlink" Target="https://app.cvent.com/subscribers/events2/Invitee/InviteeDetails?evtstub=f45b731e-4602-4508-b028-7a65d5e9f78c&amp;inviteestub=a7451a58-9730-400e-9b34-9586eb339c44" TargetMode="External" /><Relationship Id="rId334" Type="http://schemas.openxmlformats.org/officeDocument/2006/relationships/hyperlink" Target="https://app.cvent.com/subscribers/events2/Invitee/InviteeDetails?evtstub=f45b731e-4602-4508-b028-7a65d5e9f78c&amp;inviteestub=8090d75a-3bb2-4394-83bb-59e148186f24" TargetMode="External" /><Relationship Id="rId335" Type="http://schemas.openxmlformats.org/officeDocument/2006/relationships/hyperlink" Target="https://app.cvent.com/subscribers/events2/Invitee/InviteeDetails?evtstub=f45b731e-4602-4508-b028-7a65d5e9f78c&amp;inviteestub=f1c8ff3b-1c10-4ee3-bfe3-c6f57eb1530b" TargetMode="External" /><Relationship Id="rId336" Type="http://schemas.openxmlformats.org/officeDocument/2006/relationships/hyperlink" Target="https://app.cvent.com/subscribers/events2/Invitee/InviteeDetails?evtstub=f45b731e-4602-4508-b028-7a65d5e9f78c&amp;inviteestub=c2e081ce-657f-4f44-95b3-6cd253af1fdb" TargetMode="External" /><Relationship Id="rId337" Type="http://schemas.openxmlformats.org/officeDocument/2006/relationships/hyperlink" Target="https://app.cvent.com/subscribers/events2/Invitee/InviteeDetails?evtstub=f45b731e-4602-4508-b028-7a65d5e9f78c&amp;inviteestub=5d811479-89e0-4dc3-b876-8f44212034a5" TargetMode="External" /><Relationship Id="rId338" Type="http://schemas.openxmlformats.org/officeDocument/2006/relationships/hyperlink" Target="https://app.cvent.com/subscribers/events2/Invitee/InviteeDetails?evtstub=f45b731e-4602-4508-b028-7a65d5e9f78c&amp;inviteestub=56231c4a-d51b-4ee6-8390-6cd1ed092653" TargetMode="External" /><Relationship Id="rId339" Type="http://schemas.openxmlformats.org/officeDocument/2006/relationships/hyperlink" Target="https://app.cvent.com/subscribers/events2/Invitee/InviteeDetails?evtstub=f45b731e-4602-4508-b028-7a65d5e9f78c&amp;inviteestub=fa3122e4-bf20-44d9-bde7-e8c9eab7d1b4" TargetMode="External" /><Relationship Id="rId340" Type="http://schemas.openxmlformats.org/officeDocument/2006/relationships/hyperlink" Target="https://app.cvent.com/subscribers/events2/Invitee/InviteeDetails?evtstub=f45b731e-4602-4508-b028-7a65d5e9f78c&amp;inviteestub=981ca7b4-8cc5-46c7-85f2-bfc229ad9e9c" TargetMode="External" /><Relationship Id="rId341" Type="http://schemas.openxmlformats.org/officeDocument/2006/relationships/hyperlink" Target="https://app.cvent.com/subscribers/events2/Invitee/InviteeDetails?evtstub=f45b731e-4602-4508-b028-7a65d5e9f78c&amp;inviteestub=73e64345-9fc7-4b93-b419-3c7a5b46175d" TargetMode="External" /><Relationship Id="rId342" Type="http://schemas.openxmlformats.org/officeDocument/2006/relationships/hyperlink" Target="https://app.cvent.com/subscribers/events2/Invitee/InviteeDetails?evtstub=f45b731e-4602-4508-b028-7a65d5e9f78c&amp;inviteestub=737b70db-fd50-4a68-8129-70bc31b2e76e" TargetMode="External" /><Relationship Id="rId343" Type="http://schemas.openxmlformats.org/officeDocument/2006/relationships/hyperlink" Target="https://app.cvent.com/subscribers/events2/Invitee/InviteeDetails?evtstub=f45b731e-4602-4508-b028-7a65d5e9f78c&amp;inviteestub=5612df7e-a61d-437d-a662-6a323c0dc3c3" TargetMode="External" /><Relationship Id="rId344" Type="http://schemas.openxmlformats.org/officeDocument/2006/relationships/hyperlink" Target="https://app.cvent.com/subscribers/events2/Invitee/InviteeDetails?evtstub=f45b731e-4602-4508-b028-7a65d5e9f78c&amp;inviteestub=a9230593-c20d-4c04-a8d4-8b3936579d13" TargetMode="External" /><Relationship Id="rId345" Type="http://schemas.openxmlformats.org/officeDocument/2006/relationships/hyperlink" Target="https://app.cvent.com/subscribers/events2/Invitee/InviteeDetails?evtstub=f45b731e-4602-4508-b028-7a65d5e9f78c&amp;inviteestub=64c558e9-43fd-424f-ad43-7b3803399554" TargetMode="External" /><Relationship Id="rId346" Type="http://schemas.openxmlformats.org/officeDocument/2006/relationships/hyperlink" Target="https://app.cvent.com/subscribers/events2/Invitee/InviteeDetails?evtstub=f45b731e-4602-4508-b028-7a65d5e9f78c&amp;inviteestub=3e7f7665-7454-45f9-a97c-ac9203d87378" TargetMode="External" /><Relationship Id="rId347" Type="http://schemas.openxmlformats.org/officeDocument/2006/relationships/hyperlink" Target="https://app.cvent.com/subscribers/events2/Invitee/InviteeDetails?evtstub=f45b731e-4602-4508-b028-7a65d5e9f78c&amp;inviteestub=05c36334-233b-4246-ba60-9ac5df7947a8" TargetMode="External" /><Relationship Id="rId348" Type="http://schemas.openxmlformats.org/officeDocument/2006/relationships/hyperlink" Target="https://app.cvent.com/subscribers/events2/Invitee/InviteeDetails?evtstub=f45b731e-4602-4508-b028-7a65d5e9f78c&amp;inviteestub=bf560836-aa5a-47d3-8f6e-ee5154e8ed8e" TargetMode="External" /><Relationship Id="rId349" Type="http://schemas.openxmlformats.org/officeDocument/2006/relationships/hyperlink" Target="https://app.cvent.com/subscribers/events2/Invitee/InviteeDetails?evtstub=f45b731e-4602-4508-b028-7a65d5e9f78c&amp;inviteestub=7439658d-295e-4304-9cb9-d4b32cb9a752" TargetMode="External" /><Relationship Id="rId350" Type="http://schemas.openxmlformats.org/officeDocument/2006/relationships/hyperlink" Target="https://app.cvent.com/subscribers/events2/Invitee/InviteeDetails?evtstub=f45b731e-4602-4508-b028-7a65d5e9f78c&amp;inviteestub=c5f81578-3c05-4408-a801-a7011c6eb2d6" TargetMode="External" /><Relationship Id="rId351" Type="http://schemas.openxmlformats.org/officeDocument/2006/relationships/hyperlink" Target="https://app.cvent.com/subscribers/events2/Invitee/InviteeDetails?evtstub=f45b731e-4602-4508-b028-7a65d5e9f78c&amp;inviteestub=69c9876b-fd3c-4987-82e7-77799a0bcf2e" TargetMode="External" /><Relationship Id="rId352" Type="http://schemas.openxmlformats.org/officeDocument/2006/relationships/hyperlink" Target="https://app.cvent.com/subscribers/events2/Invitee/InviteeDetails?evtstub=f45b731e-4602-4508-b028-7a65d5e9f78c&amp;inviteestub=c42ee641-7e04-4ed6-8dc6-7a52c943ffeb" TargetMode="External" /><Relationship Id="rId353" Type="http://schemas.openxmlformats.org/officeDocument/2006/relationships/hyperlink" Target="https://app.cvent.com/subscribers/events2/Invitee/InviteeDetails?evtstub=f45b731e-4602-4508-b028-7a65d5e9f78c&amp;inviteestub=ef8201f6-3ec7-4928-801a-caee2b2cef24" TargetMode="External" /><Relationship Id="rId354" Type="http://schemas.openxmlformats.org/officeDocument/2006/relationships/hyperlink" Target="https://app.cvent.com/subscribers/events2/Invitee/InviteeDetails?evtstub=f45b731e-4602-4508-b028-7a65d5e9f78c&amp;inviteestub=43b09803-5a69-4162-8870-f8e56e3ea035" TargetMode="External" /><Relationship Id="rId355" Type="http://schemas.openxmlformats.org/officeDocument/2006/relationships/hyperlink" Target="https://app.cvent.com/subscribers/events2/Invitee/InviteeDetails?evtstub=f45b731e-4602-4508-b028-7a65d5e9f78c&amp;inviteestub=e863845d-e814-428a-a8ac-ff93fb8d6dfb" TargetMode="External" /><Relationship Id="rId356" Type="http://schemas.openxmlformats.org/officeDocument/2006/relationships/hyperlink" Target="https://app.cvent.com/subscribers/events2/Invitee/InviteeDetails?evtstub=f45b731e-4602-4508-b028-7a65d5e9f78c&amp;inviteestub=4dc581e1-e137-404b-83da-5657120e19fb" TargetMode="External" /><Relationship Id="rId357" Type="http://schemas.openxmlformats.org/officeDocument/2006/relationships/hyperlink" Target="https://app.cvent.com/subscribers/events2/Invitee/InviteeDetails?evtstub=f45b731e-4602-4508-b028-7a65d5e9f78c&amp;inviteestub=a1ebf0c7-acdc-4a2f-8694-97527fc44fd9" TargetMode="External" /><Relationship Id="rId358" Type="http://schemas.openxmlformats.org/officeDocument/2006/relationships/table" Target="../tables/table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B3:D20"/>
  <sheetViews>
    <sheetView workbookViewId="0" topLeftCell="A1"/>
  </sheetViews>
  <sheetFormatPr defaultRowHeight="11.25"/>
  <cols>
    <col min="2" max="2" width="43.714285714285715" customWidth="1"/>
    <col min="3" max="3" width="2.7142857142857144" customWidth="1"/>
    <col min="4" max="4" width="43.714285714285715" customWidth="1"/>
  </cols>
  <sheetData>
    <row r="2" spans="2:4" ht="37" customHeight="1">
      <c r="B2" s="15" t="s">
        <v>999</v>
      </c>
      <c r="C2" s="14"/>
      <c r="D2" s="14"/>
    </row>
    <row r="3" spans="2:4" ht="11.25">
      <c r="B3" s="16" t="s">
        <v>1000</v>
      </c>
      <c r="D3" s="17" t="s">
        <v>1001</v>
      </c>
    </row>
    <row r="4" spans="2:4" ht="11.25">
      <c r="B4" s="18" t="s">
        <v>1002</v>
      </c>
      <c r="D4" s="19" t="s">
        <v>1003</v>
      </c>
    </row>
    <row r="5" spans="2:4" ht="11.25">
      <c r="B5" s="18" t="s">
        <v>1004</v>
      </c>
      <c r="D5" s="19" t="s">
        <v>1005</v>
      </c>
    </row>
    <row r="6" spans="2:4" ht="11.25">
      <c r="B6" s="18" t="s">
        <v>1006</v>
      </c>
      <c r="D6" s="19" t="s">
        <v>1007</v>
      </c>
    </row>
    <row r="7" spans="2:4" ht="11.25">
      <c r="B7" s="18" t="s">
        <v>1008</v>
      </c>
      <c r="D7" s="19" t="s">
        <v>1009</v>
      </c>
    </row>
    <row r="8" spans="2:4" ht="11.25">
      <c r="B8" s="18" t="s">
        <v>1010</v>
      </c>
      <c r="D8" s="19" t="s">
        <v>1011</v>
      </c>
    </row>
    <row r="9" spans="2:4" ht="11.25">
      <c r="B9" s="18" t="s">
        <v>1012</v>
      </c>
      <c r="D9" s="19" t="s">
        <v>1013</v>
      </c>
    </row>
    <row r="10" spans="2:4" ht="11.25">
      <c r="B10" s="18" t="s">
        <v>1014</v>
      </c>
      <c r="D10" s="19" t="s">
        <v>1015</v>
      </c>
    </row>
    <row r="11" spans="2:4" ht="11.25">
      <c r="B11" s="18" t="s">
        <v>1016</v>
      </c>
      <c r="D11" s="19" t="s">
        <v>1017</v>
      </c>
    </row>
    <row r="12" spans="2:4" ht="11.25">
      <c r="B12" s="18" t="s">
        <v>1018</v>
      </c>
      <c r="D12" s="19" t="s">
        <v>1019</v>
      </c>
    </row>
    <row r="13" spans="2:4" ht="11.25">
      <c r="B13" s="18" t="s">
        <v>1020</v>
      </c>
      <c r="D13" s="19" t="s">
        <v>1021</v>
      </c>
    </row>
    <row r="16" spans="2:4" ht="20" customHeight="1">
      <c r="B16" s="20" t="s">
        <v>1022</v>
      </c>
      <c r="C16" s="14"/>
      <c r="D16" s="14"/>
    </row>
    <row r="17" spans="2:4" ht="29" customHeight="1">
      <c r="B17" s="21" t="s">
        <v>1023</v>
      </c>
      <c r="D17" s="22" t="s">
        <v>1024</v>
      </c>
    </row>
    <row r="18" spans="2:4" ht="29" customHeight="1">
      <c r="B18" s="23" t="s">
        <v>32</v>
      </c>
      <c r="D18" s="24" t="s">
        <v>1024</v>
      </c>
    </row>
    <row r="19" spans="2:4" ht="29" customHeight="1">
      <c r="B19" s="23" t="s">
        <v>33</v>
      </c>
      <c r="D19" s="24" t="s">
        <v>1024</v>
      </c>
    </row>
  </sheetData>
  <mergeCells count="2">
    <mergeCell ref="B2:D2"/>
    <mergeCell ref="B16:D16"/>
  </mergeCells>
  <hyperlinks>
    <hyperlink ref="D17" location="'Registration Trend'!A1" display="Link to corresponding sheet below"/>
    <hyperlink ref="D18" location="'Registration Type'!A1" display="Link to corresponding sheet below"/>
    <hyperlink ref="D19" location="'Registrant Details'!A1" display="Link to corresponding sheet below"/>
  </hyperlink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2:B59"/>
  <sheetViews>
    <sheetView workbookViewId="0" topLeftCell="A1"/>
  </sheetViews>
  <sheetFormatPr defaultRowHeight="11.25"/>
  <cols>
    <col min="1" max="1" width="25.857142857142858" customWidth="1"/>
    <col min="2" max="2" width="14.142857142857142" customWidth="1"/>
  </cols>
  <sheetData>
    <row r="1" ht="11.25">
      <c r="A1" s="1" t="s">
        <v>0</v>
      </c>
    </row>
    <row r="38" spans="1:2" ht="11.25">
      <c r="A38" s="6" t="s">
        <v>21</v>
      </c>
      <c r="B38" s="6" t="s">
        <v>22</v>
      </c>
    </row>
    <row r="39" spans="1:2" ht="11.25">
      <c r="A39" s="2" t="s">
        <v>1</v>
      </c>
      <c r="B39" s="3">
        <v>16</v>
      </c>
    </row>
    <row r="40" spans="1:2" ht="11.25">
      <c r="A40" s="4" t="s">
        <v>2</v>
      </c>
      <c r="B40" s="5">
        <v>2</v>
      </c>
    </row>
    <row r="41" spans="1:2" ht="11.25">
      <c r="A41" s="2" t="s">
        <v>3</v>
      </c>
      <c r="B41" s="3">
        <v>2</v>
      </c>
    </row>
    <row r="42" spans="1:2" ht="11.25">
      <c r="A42" s="4" t="s">
        <v>4</v>
      </c>
      <c r="B42" s="5">
        <v>3</v>
      </c>
    </row>
    <row r="43" spans="1:2" ht="11.25">
      <c r="A43" s="2" t="s">
        <v>5</v>
      </c>
      <c r="B43" s="3">
        <v>1</v>
      </c>
    </row>
    <row r="44" spans="1:2" ht="11.25">
      <c r="A44" s="4" t="s">
        <v>6</v>
      </c>
      <c r="B44" s="5">
        <v>1</v>
      </c>
    </row>
    <row r="45" spans="1:2" ht="11.25">
      <c r="A45" s="2" t="s">
        <v>7</v>
      </c>
      <c r="B45" s="3">
        <v>5</v>
      </c>
    </row>
    <row r="46" spans="1:2" ht="11.25">
      <c r="A46" s="4" t="s">
        <v>8</v>
      </c>
      <c r="B46" s="5">
        <v>11</v>
      </c>
    </row>
    <row r="47" spans="1:2" ht="11.25">
      <c r="A47" s="2" t="s">
        <v>9</v>
      </c>
      <c r="B47" s="3">
        <v>12</v>
      </c>
    </row>
    <row r="48" spans="1:2" ht="11.25">
      <c r="A48" s="4" t="s">
        <v>10</v>
      </c>
      <c r="B48" s="5">
        <v>12</v>
      </c>
    </row>
    <row r="49" spans="1:2" ht="11.25">
      <c r="A49" s="2" t="s">
        <v>11</v>
      </c>
      <c r="B49" s="3">
        <v>11</v>
      </c>
    </row>
    <row r="50" spans="1:2" ht="11.25">
      <c r="A50" s="4" t="s">
        <v>12</v>
      </c>
      <c r="B50" s="5">
        <v>12</v>
      </c>
    </row>
    <row r="51" spans="1:2" ht="11.25">
      <c r="A51" s="2" t="s">
        <v>13</v>
      </c>
      <c r="B51" s="3">
        <v>25</v>
      </c>
    </row>
    <row r="52" spans="1:2" ht="11.25">
      <c r="A52" s="4" t="s">
        <v>14</v>
      </c>
      <c r="B52" s="5">
        <v>48</v>
      </c>
    </row>
    <row r="53" spans="1:2" ht="11.25">
      <c r="A53" s="2" t="s">
        <v>15</v>
      </c>
      <c r="B53" s="3">
        <v>22</v>
      </c>
    </row>
    <row r="54" spans="1:2" ht="11.25">
      <c r="A54" s="4" t="s">
        <v>16</v>
      </c>
      <c r="B54" s="5">
        <v>25</v>
      </c>
    </row>
    <row r="55" spans="1:2" ht="11.25">
      <c r="A55" s="2" t="s">
        <v>17</v>
      </c>
      <c r="B55" s="3">
        <v>15</v>
      </c>
    </row>
    <row r="56" spans="1:2" ht="11.25">
      <c r="A56" s="4" t="s">
        <v>18</v>
      </c>
      <c r="B56" s="5">
        <v>48</v>
      </c>
    </row>
    <row r="57" spans="1:2" ht="11.25">
      <c r="A57" s="2" t="s">
        <v>19</v>
      </c>
      <c r="B57" s="3">
        <v>80</v>
      </c>
    </row>
    <row r="58" spans="1:2" ht="11.25">
      <c r="A58" s="4" t="s">
        <v>20</v>
      </c>
      <c r="B58" s="5">
        <v>6</v>
      </c>
    </row>
  </sheetData>
  <hyperlinks>
    <hyperlink ref="A1" location="'Event Information'!A1" display="Back to Table of Contents"/>
  </hyperlinks>
  <pageMargins left="0.75" right="0.75" top="1" bottom="1" header="0.5" footer="0.5"/>
  <pageSetup orientation="portrait"/>
  <headerFooter alignWithMargins="0"/>
  <drawing r:id="rId2"/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2:B48"/>
  <sheetViews>
    <sheetView workbookViewId="0" topLeftCell="A1"/>
  </sheetViews>
  <sheetFormatPr defaultRowHeight="11.25"/>
  <cols>
    <col min="1" max="1" width="50.142857142857146" customWidth="1"/>
    <col min="2" max="2" width="14.142857142857142" customWidth="1"/>
  </cols>
  <sheetData>
    <row r="1" ht="11.25">
      <c r="A1" s="1" t="s">
        <v>0</v>
      </c>
    </row>
    <row r="38" spans="1:2" ht="11.25">
      <c r="A38" s="6" t="s">
        <v>32</v>
      </c>
      <c r="B38" s="6" t="s">
        <v>22</v>
      </c>
    </row>
    <row r="39" spans="1:2" ht="11.25">
      <c r="A39" s="7" t="s">
        <v>23</v>
      </c>
      <c r="B39" s="3">
        <v>81</v>
      </c>
    </row>
    <row r="40" spans="1:2" ht="11.25">
      <c r="A40" s="8" t="s">
        <v>24</v>
      </c>
      <c r="B40" s="5">
        <v>77</v>
      </c>
    </row>
    <row r="41" spans="1:2" ht="11.25">
      <c r="A41" s="7" t="s">
        <v>25</v>
      </c>
      <c r="B41" s="3">
        <v>47</v>
      </c>
    </row>
    <row r="42" spans="1:2" ht="11.25">
      <c r="A42" s="8" t="s">
        <v>26</v>
      </c>
      <c r="B42" s="5">
        <v>46</v>
      </c>
    </row>
    <row r="43" spans="1:2" ht="11.25">
      <c r="A43" s="7" t="s">
        <v>27</v>
      </c>
      <c r="B43" s="3">
        <v>38</v>
      </c>
    </row>
    <row r="44" spans="1:2" ht="11.25">
      <c r="A44" s="8" t="s">
        <v>28</v>
      </c>
      <c r="B44" s="5">
        <v>35</v>
      </c>
    </row>
    <row r="45" spans="1:2" ht="11.25">
      <c r="A45" s="7" t="s">
        <v>29</v>
      </c>
      <c r="B45" s="3">
        <v>18</v>
      </c>
    </row>
    <row r="46" spans="1:2" ht="11.25">
      <c r="A46" s="8" t="s">
        <v>30</v>
      </c>
      <c r="B46" s="5">
        <v>14</v>
      </c>
    </row>
    <row r="47" spans="1:2" ht="11.25">
      <c r="A47" s="7" t="s">
        <v>31</v>
      </c>
      <c r="B47" s="3">
        <v>1</v>
      </c>
    </row>
  </sheetData>
  <hyperlinks>
    <hyperlink ref="A1" location="'Event Information'!A1" display="Back to Table of Contents"/>
  </hyperlinks>
  <pageMargins left="0.75" right="0.75" top="1" bottom="1" header="0.5" footer="0.5"/>
  <pageSetup orientation="portrait"/>
  <headerFooter alignWithMargins="0"/>
  <drawing r:id="rId2"/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2:L362"/>
  <sheetViews>
    <sheetView workbookViewId="0" topLeftCell="A1"/>
  </sheetViews>
  <sheetFormatPr defaultRowHeight="11.25"/>
  <cols>
    <col min="1" max="7" width="27.428571428571427" customWidth="1"/>
    <col min="8" max="9" width="13.714285714285714" customWidth="1"/>
    <col min="10" max="12" width="27.428571428571427" customWidth="1"/>
  </cols>
  <sheetData>
    <row r="1" ht="11.25">
      <c r="A1" s="1" t="s">
        <v>0</v>
      </c>
    </row>
    <row r="3" ht="11.25">
      <c r="A3" s="9" t="s">
        <v>33</v>
      </c>
    </row>
    <row r="4" spans="1:12" ht="11.25">
      <c r="A4" s="6" t="s">
        <v>988</v>
      </c>
      <c r="B4" s="6" t="s">
        <v>989</v>
      </c>
      <c r="C4" s="6" t="s">
        <v>990</v>
      </c>
      <c r="D4" s="6" t="s">
        <v>991</v>
      </c>
      <c r="E4" s="6" t="s">
        <v>32</v>
      </c>
      <c r="F4" s="6" t="s">
        <v>992</v>
      </c>
      <c r="G4" s="6" t="s">
        <v>993</v>
      </c>
      <c r="H4" s="6" t="s">
        <v>994</v>
      </c>
      <c r="I4" s="6" t="s">
        <v>995</v>
      </c>
      <c r="J4" s="6" t="s">
        <v>996</v>
      </c>
      <c r="K4" s="6" t="s">
        <v>997</v>
      </c>
      <c r="L4" s="6" t="s">
        <v>998</v>
      </c>
    </row>
    <row r="5" spans="1:12" ht="11.25">
      <c r="A5" s="10" t="s">
        <v>34</v>
      </c>
      <c r="B5" s="7" t="s">
        <v>35</v>
      </c>
      <c r="C5" s="7" t="s">
        <v>36</v>
      </c>
      <c r="D5" s="7" t="s">
        <v>37</v>
      </c>
      <c r="E5" s="7" t="s">
        <v>26</v>
      </c>
      <c r="F5" s="2">
        <f>DATE(2025,3,3)+TIME(17,19,59)</f>
        <v>45719.72221064815</v>
      </c>
      <c r="G5" s="7" t="s">
        <v>38</v>
      </c>
      <c r="H5" s="11">
        <v>0</v>
      </c>
      <c r="I5" s="11">
        <v>0</v>
      </c>
      <c r="J5" s="7" t="s">
        <v>39</v>
      </c>
      <c r="K5" s="7" t="s">
        <v>40</v>
      </c>
      <c r="L5" s="7"/>
    </row>
    <row r="6" spans="1:12" ht="11.25">
      <c r="A6" s="12" t="s">
        <v>41</v>
      </c>
      <c r="B6" s="8" t="s">
        <v>42</v>
      </c>
      <c r="C6" s="8" t="s">
        <v>43</v>
      </c>
      <c r="D6" s="8" t="s">
        <v>37</v>
      </c>
      <c r="E6" s="8" t="s">
        <v>23</v>
      </c>
      <c r="F6" s="4">
        <f>DATE(2025,3,11)+TIME(11,46,35)</f>
        <v>45727.49068287037</v>
      </c>
      <c r="G6" s="8" t="s">
        <v>44</v>
      </c>
      <c r="H6" s="13">
        <v>0</v>
      </c>
      <c r="I6" s="13">
        <v>770</v>
      </c>
      <c r="J6" s="8" t="s">
        <v>39</v>
      </c>
      <c r="K6" s="8" t="s">
        <v>40</v>
      </c>
      <c r="L6" s="8"/>
    </row>
    <row r="7" spans="1:12" ht="11.25">
      <c r="A7" s="10" t="s">
        <v>45</v>
      </c>
      <c r="B7" s="7" t="s">
        <v>46</v>
      </c>
      <c r="C7" s="7" t="s">
        <v>47</v>
      </c>
      <c r="D7" s="7" t="s">
        <v>37</v>
      </c>
      <c r="E7" s="7" t="s">
        <v>23</v>
      </c>
      <c r="F7" s="2">
        <f>DATE(2025,3,15)+TIME(15,13,40)</f>
        <v>45731.63449074074</v>
      </c>
      <c r="G7" s="7" t="s">
        <v>38</v>
      </c>
      <c r="H7" s="11">
        <v>200</v>
      </c>
      <c r="I7" s="11">
        <v>200</v>
      </c>
      <c r="J7" s="7" t="s">
        <v>39</v>
      </c>
      <c r="K7" s="7" t="s">
        <v>48</v>
      </c>
      <c r="L7" s="7"/>
    </row>
    <row r="8" spans="1:12" ht="11.25">
      <c r="A8" s="12" t="s">
        <v>49</v>
      </c>
      <c r="B8" s="8" t="s">
        <v>50</v>
      </c>
      <c r="C8" s="8" t="s">
        <v>51</v>
      </c>
      <c r="D8" s="8" t="s">
        <v>37</v>
      </c>
      <c r="E8" s="8" t="s">
        <v>24</v>
      </c>
      <c r="F8" s="4">
        <f>DATE(2025,2,6)+TIME(9,28,4)</f>
        <v>45694.39449074074</v>
      </c>
      <c r="G8" s="8" t="s">
        <v>38</v>
      </c>
      <c r="H8" s="13">
        <v>0</v>
      </c>
      <c r="I8" s="13">
        <v>0</v>
      </c>
      <c r="J8" s="8" t="s">
        <v>39</v>
      </c>
      <c r="K8" s="8" t="s">
        <v>40</v>
      </c>
      <c r="L8" s="8"/>
    </row>
    <row r="9" spans="1:12" ht="11.25">
      <c r="A9" s="10" t="s">
        <v>52</v>
      </c>
      <c r="B9" s="7" t="s">
        <v>53</v>
      </c>
      <c r="C9" s="7" t="s">
        <v>54</v>
      </c>
      <c r="D9" s="7" t="s">
        <v>37</v>
      </c>
      <c r="E9" s="7" t="s">
        <v>25</v>
      </c>
      <c r="F9" s="2">
        <f>DATE(2025,3,3)+TIME(16,57,45)</f>
        <v>45719.706770833334</v>
      </c>
      <c r="G9" s="7" t="s">
        <v>38</v>
      </c>
      <c r="H9" s="11">
        <v>0</v>
      </c>
      <c r="I9" s="11">
        <v>150</v>
      </c>
      <c r="J9" s="7" t="s">
        <v>39</v>
      </c>
      <c r="K9" s="7" t="s">
        <v>40</v>
      </c>
      <c r="L9" s="7"/>
    </row>
    <row r="10" spans="1:12" ht="11.25">
      <c r="A10" s="12" t="s">
        <v>55</v>
      </c>
      <c r="B10" s="8" t="s">
        <v>56</v>
      </c>
      <c r="C10" s="8" t="s">
        <v>57</v>
      </c>
      <c r="D10" s="8" t="s">
        <v>37</v>
      </c>
      <c r="E10" s="8" t="s">
        <v>24</v>
      </c>
      <c r="F10" s="4">
        <f>DATE(2025,1,23)+TIME(8,26,43)</f>
        <v>45680.35188657408</v>
      </c>
      <c r="G10" s="8" t="s">
        <v>58</v>
      </c>
      <c r="H10" s="13">
        <v>0</v>
      </c>
      <c r="I10" s="13">
        <v>0</v>
      </c>
      <c r="J10" s="8" t="s">
        <v>39</v>
      </c>
      <c r="K10" s="8" t="s">
        <v>40</v>
      </c>
      <c r="L10" s="8"/>
    </row>
    <row r="11" spans="1:12" ht="11.25">
      <c r="A11" s="10" t="s">
        <v>59</v>
      </c>
      <c r="B11" s="7" t="s">
        <v>60</v>
      </c>
      <c r="C11" s="7" t="s">
        <v>61</v>
      </c>
      <c r="D11" s="7" t="s">
        <v>37</v>
      </c>
      <c r="E11" s="7" t="s">
        <v>24</v>
      </c>
      <c r="F11" s="2">
        <f>DATE(2025,2,3)+TIME(10,47,36)</f>
        <v>45691.44972222222</v>
      </c>
      <c r="G11" s="7" t="s">
        <v>38</v>
      </c>
      <c r="H11" s="11">
        <v>0</v>
      </c>
      <c r="I11" s="11">
        <v>0</v>
      </c>
      <c r="J11" s="7" t="s">
        <v>39</v>
      </c>
      <c r="K11" s="7" t="s">
        <v>40</v>
      </c>
      <c r="L11" s="7"/>
    </row>
    <row r="12" spans="1:12" ht="11.25">
      <c r="A12" s="12" t="s">
        <v>62</v>
      </c>
      <c r="B12" s="8" t="s">
        <v>63</v>
      </c>
      <c r="C12" s="8" t="s">
        <v>64</v>
      </c>
      <c r="D12" s="8" t="s">
        <v>37</v>
      </c>
      <c r="E12" s="8" t="s">
        <v>24</v>
      </c>
      <c r="F12" s="4">
        <f>DATE(2025,3,14)+TIME(11,9,30)</f>
        <v>45730.46493055556</v>
      </c>
      <c r="G12" s="8" t="s">
        <v>38</v>
      </c>
      <c r="H12" s="13">
        <v>0</v>
      </c>
      <c r="I12" s="13">
        <v>0</v>
      </c>
      <c r="J12" s="8" t="s">
        <v>39</v>
      </c>
      <c r="K12" s="8" t="s">
        <v>40</v>
      </c>
      <c r="L12" s="8"/>
    </row>
    <row r="13" spans="1:12" ht="11.25">
      <c r="A13" s="10" t="s">
        <v>65</v>
      </c>
      <c r="B13" s="7" t="s">
        <v>66</v>
      </c>
      <c r="C13" s="7" t="s">
        <v>67</v>
      </c>
      <c r="D13" s="7" t="s">
        <v>37</v>
      </c>
      <c r="E13" s="7" t="s">
        <v>24</v>
      </c>
      <c r="F13" s="2">
        <f>DATE(2025,4,14)+TIME(12,8,1)</f>
        <v>45761.50556712963</v>
      </c>
      <c r="G13" s="7" t="s">
        <v>38</v>
      </c>
      <c r="H13" s="11">
        <v>0</v>
      </c>
      <c r="I13" s="11">
        <v>0</v>
      </c>
      <c r="J13" s="7" t="s">
        <v>39</v>
      </c>
      <c r="K13" s="7" t="s">
        <v>40</v>
      </c>
      <c r="L13" s="7"/>
    </row>
    <row r="14" spans="1:12" ht="11.25">
      <c r="A14" s="12" t="s">
        <v>68</v>
      </c>
      <c r="B14" s="8" t="s">
        <v>69</v>
      </c>
      <c r="C14" s="8" t="s">
        <v>54</v>
      </c>
      <c r="D14" s="8" t="s">
        <v>37</v>
      </c>
      <c r="E14" s="8" t="s">
        <v>28</v>
      </c>
      <c r="F14" s="4">
        <f>DATE(2025,4,9)+TIME(13,26,22)</f>
        <v>45756.55997685185</v>
      </c>
      <c r="G14" s="8" t="s">
        <v>38</v>
      </c>
      <c r="H14" s="13">
        <v>0</v>
      </c>
      <c r="I14" s="13">
        <v>250</v>
      </c>
      <c r="J14" s="8" t="s">
        <v>39</v>
      </c>
      <c r="K14" s="8" t="s">
        <v>40</v>
      </c>
      <c r="L14" s="8"/>
    </row>
    <row r="15" spans="1:12" ht="11.25">
      <c r="A15" s="10" t="s">
        <v>70</v>
      </c>
      <c r="B15" s="7" t="s">
        <v>71</v>
      </c>
      <c r="C15" s="7" t="s">
        <v>61</v>
      </c>
      <c r="D15" s="7" t="s">
        <v>37</v>
      </c>
      <c r="E15" s="7" t="s">
        <v>28</v>
      </c>
      <c r="F15" s="2">
        <f>DATE(2025,3,15)+TIME(3,15,10)</f>
        <v>45731.13553240741</v>
      </c>
      <c r="G15" s="7" t="s">
        <v>38</v>
      </c>
      <c r="H15" s="11">
        <v>0</v>
      </c>
      <c r="I15" s="11">
        <v>450</v>
      </c>
      <c r="J15" s="7" t="s">
        <v>39</v>
      </c>
      <c r="K15" s="7" t="s">
        <v>40</v>
      </c>
      <c r="L15" s="7"/>
    </row>
    <row r="16" spans="1:12" ht="11.25">
      <c r="A16" s="12" t="s">
        <v>72</v>
      </c>
      <c r="B16" s="8" t="s">
        <v>73</v>
      </c>
      <c r="C16" s="8" t="s">
        <v>74</v>
      </c>
      <c r="D16" s="8" t="s">
        <v>37</v>
      </c>
      <c r="E16" s="8" t="s">
        <v>26</v>
      </c>
      <c r="F16" s="4">
        <f>DATE(2024,11,19)+TIME(15,51,42)</f>
        <v>45615.66090277778</v>
      </c>
      <c r="G16" s="8" t="s">
        <v>38</v>
      </c>
      <c r="H16" s="13">
        <v>0</v>
      </c>
      <c r="I16" s="13">
        <v>0</v>
      </c>
      <c r="J16" s="8" t="s">
        <v>39</v>
      </c>
      <c r="K16" s="8" t="s">
        <v>40</v>
      </c>
      <c r="L16" s="8"/>
    </row>
    <row r="17" spans="1:12" ht="11.25">
      <c r="A17" s="10" t="s">
        <v>75</v>
      </c>
      <c r="B17" s="7" t="s">
        <v>76</v>
      </c>
      <c r="C17" s="7" t="s">
        <v>77</v>
      </c>
      <c r="D17" s="7" t="s">
        <v>37</v>
      </c>
      <c r="E17" s="7" t="s">
        <v>23</v>
      </c>
      <c r="F17" s="2">
        <f>DATE(2025,4,12)+TIME(0,28,36)</f>
        <v>45759.01986111111</v>
      </c>
      <c r="G17" s="7" t="s">
        <v>38</v>
      </c>
      <c r="H17" s="11">
        <v>100</v>
      </c>
      <c r="I17" s="11">
        <v>100</v>
      </c>
      <c r="J17" s="7" t="s">
        <v>39</v>
      </c>
      <c r="K17" s="7" t="s">
        <v>48</v>
      </c>
      <c r="L17" s="7"/>
    </row>
    <row r="18" spans="1:12" ht="11.25">
      <c r="A18" s="12" t="s">
        <v>78</v>
      </c>
      <c r="B18" s="8" t="s">
        <v>79</v>
      </c>
      <c r="C18" s="8" t="s">
        <v>80</v>
      </c>
      <c r="D18" s="8" t="s">
        <v>37</v>
      </c>
      <c r="E18" s="8" t="s">
        <v>27</v>
      </c>
      <c r="F18" s="4">
        <f>DATE(2025,4,13)+TIME(16,24,57)</f>
        <v>45760.68399305556</v>
      </c>
      <c r="G18" s="8" t="s">
        <v>81</v>
      </c>
      <c r="H18" s="13">
        <v>0</v>
      </c>
      <c r="I18" s="13">
        <v>470</v>
      </c>
      <c r="J18" s="8" t="s">
        <v>39</v>
      </c>
      <c r="K18" s="8" t="s">
        <v>40</v>
      </c>
      <c r="L18" s="8"/>
    </row>
    <row r="19" spans="1:12" ht="11.25">
      <c r="A19" s="10" t="s">
        <v>82</v>
      </c>
      <c r="B19" s="7" t="s">
        <v>83</v>
      </c>
      <c r="C19" s="7" t="s">
        <v>84</v>
      </c>
      <c r="D19" s="7" t="s">
        <v>37</v>
      </c>
      <c r="E19" s="7" t="s">
        <v>27</v>
      </c>
      <c r="F19" s="2">
        <f>DATE(2025,4,13)+TIME(15,43,21)</f>
        <v>45760.65510416667</v>
      </c>
      <c r="G19" s="7" t="s">
        <v>81</v>
      </c>
      <c r="H19" s="11">
        <v>0</v>
      </c>
      <c r="I19" s="11">
        <v>470</v>
      </c>
      <c r="J19" s="7" t="s">
        <v>39</v>
      </c>
      <c r="K19" s="7" t="s">
        <v>40</v>
      </c>
      <c r="L19" s="7"/>
    </row>
    <row r="20" spans="1:12" ht="11.25">
      <c r="A20" s="12" t="s">
        <v>85</v>
      </c>
      <c r="B20" s="8" t="s">
        <v>86</v>
      </c>
      <c r="C20" s="8" t="s">
        <v>87</v>
      </c>
      <c r="D20" s="8" t="s">
        <v>37</v>
      </c>
      <c r="E20" s="8" t="s">
        <v>27</v>
      </c>
      <c r="F20" s="4">
        <f>DATE(2025,4,13)+TIME(16,13,35)</f>
        <v>45760.676099537035</v>
      </c>
      <c r="G20" s="8" t="s">
        <v>81</v>
      </c>
      <c r="H20" s="13">
        <v>0</v>
      </c>
      <c r="I20" s="13">
        <v>470</v>
      </c>
      <c r="J20" s="8" t="s">
        <v>39</v>
      </c>
      <c r="K20" s="8" t="s">
        <v>40</v>
      </c>
      <c r="L20" s="8"/>
    </row>
    <row r="21" spans="1:12" ht="11.25">
      <c r="A21" s="10" t="s">
        <v>88</v>
      </c>
      <c r="B21" s="7" t="s">
        <v>89</v>
      </c>
      <c r="C21" s="7" t="s">
        <v>90</v>
      </c>
      <c r="D21" s="7" t="s">
        <v>37</v>
      </c>
      <c r="E21" s="7" t="s">
        <v>27</v>
      </c>
      <c r="F21" s="2">
        <f>DATE(2025,4,10)+TIME(20,5,22)</f>
        <v>45757.837060185186</v>
      </c>
      <c r="G21" s="7" t="s">
        <v>81</v>
      </c>
      <c r="H21" s="11">
        <v>450</v>
      </c>
      <c r="I21" s="11">
        <v>450</v>
      </c>
      <c r="J21" s="7" t="s">
        <v>39</v>
      </c>
      <c r="K21" s="7" t="s">
        <v>40</v>
      </c>
      <c r="L21" s="7"/>
    </row>
    <row r="22" spans="1:12" ht="11.25">
      <c r="A22" s="12" t="s">
        <v>91</v>
      </c>
      <c r="B22" s="8" t="s">
        <v>92</v>
      </c>
      <c r="C22" s="8" t="s">
        <v>54</v>
      </c>
      <c r="D22" s="8" t="s">
        <v>37</v>
      </c>
      <c r="E22" s="8" t="s">
        <v>25</v>
      </c>
      <c r="F22" s="4">
        <f>DATE(2025,3,3)+TIME(11,23,8)</f>
        <v>45719.47439814815</v>
      </c>
      <c r="G22" s="8" t="s">
        <v>38</v>
      </c>
      <c r="H22" s="13">
        <v>0</v>
      </c>
      <c r="I22" s="13">
        <v>150</v>
      </c>
      <c r="J22" s="8" t="s">
        <v>39</v>
      </c>
      <c r="K22" s="8" t="s">
        <v>40</v>
      </c>
      <c r="L22" s="8"/>
    </row>
    <row r="23" spans="1:12" ht="11.25">
      <c r="A23" s="10" t="s">
        <v>93</v>
      </c>
      <c r="B23" s="7" t="s">
        <v>94</v>
      </c>
      <c r="C23" s="7" t="s">
        <v>95</v>
      </c>
      <c r="D23" s="7" t="s">
        <v>37</v>
      </c>
      <c r="E23" s="7" t="s">
        <v>26</v>
      </c>
      <c r="F23" s="2">
        <f>DATE(2024,12,2)+TIME(12,2,55)</f>
        <v>45628.50202546296</v>
      </c>
      <c r="G23" s="7" t="s">
        <v>96</v>
      </c>
      <c r="H23" s="11">
        <v>0</v>
      </c>
      <c r="I23" s="11">
        <v>0</v>
      </c>
      <c r="J23" s="7" t="s">
        <v>39</v>
      </c>
      <c r="K23" s="7" t="s">
        <v>48</v>
      </c>
      <c r="L23" s="7"/>
    </row>
    <row r="24" spans="1:12" ht="11.25">
      <c r="A24" s="12" t="s">
        <v>97</v>
      </c>
      <c r="B24" s="8" t="s">
        <v>98</v>
      </c>
      <c r="C24" s="8" t="s">
        <v>54</v>
      </c>
      <c r="D24" s="8" t="s">
        <v>37</v>
      </c>
      <c r="E24" s="8" t="s">
        <v>28</v>
      </c>
      <c r="F24" s="4">
        <f>DATE(2025,3,21)+TIME(9,58,0)</f>
        <v>45737.41527777778</v>
      </c>
      <c r="G24" s="8" t="s">
        <v>38</v>
      </c>
      <c r="H24" s="13">
        <v>0</v>
      </c>
      <c r="I24" s="13">
        <v>250</v>
      </c>
      <c r="J24" s="8" t="s">
        <v>39</v>
      </c>
      <c r="K24" s="8" t="s">
        <v>40</v>
      </c>
      <c r="L24" s="8" t="s">
        <v>38</v>
      </c>
    </row>
    <row r="25" spans="1:12" ht="11.25">
      <c r="A25" s="10" t="s">
        <v>99</v>
      </c>
      <c r="B25" s="7" t="s">
        <v>100</v>
      </c>
      <c r="C25" s="7" t="s">
        <v>101</v>
      </c>
      <c r="D25" s="7" t="s">
        <v>37</v>
      </c>
      <c r="E25" s="7" t="s">
        <v>27</v>
      </c>
      <c r="F25" s="2">
        <f>DATE(2025,4,13)+TIME(16,47,44)</f>
        <v>45760.69981481481</v>
      </c>
      <c r="G25" s="7" t="s">
        <v>81</v>
      </c>
      <c r="H25" s="11">
        <v>0</v>
      </c>
      <c r="I25" s="11">
        <v>470</v>
      </c>
      <c r="J25" s="7" t="s">
        <v>39</v>
      </c>
      <c r="K25" s="7" t="s">
        <v>40</v>
      </c>
      <c r="L25" s="7"/>
    </row>
    <row r="26" spans="1:12" ht="11.25">
      <c r="A26" s="12" t="s">
        <v>102</v>
      </c>
      <c r="B26" s="8" t="s">
        <v>103</v>
      </c>
      <c r="C26" s="8" t="s">
        <v>104</v>
      </c>
      <c r="D26" s="8" t="s">
        <v>37</v>
      </c>
      <c r="E26" s="8" t="s">
        <v>27</v>
      </c>
      <c r="F26" s="4">
        <f>DATE(2025,4,13)+TIME(16,16,40)</f>
        <v>45760.67824074074</v>
      </c>
      <c r="G26" s="8" t="s">
        <v>81</v>
      </c>
      <c r="H26" s="13">
        <v>0</v>
      </c>
      <c r="I26" s="13">
        <v>470</v>
      </c>
      <c r="J26" s="8" t="s">
        <v>39</v>
      </c>
      <c r="K26" s="8" t="s">
        <v>40</v>
      </c>
      <c r="L26" s="8"/>
    </row>
    <row r="27" spans="1:12" ht="11.25">
      <c r="A27" s="10" t="s">
        <v>105</v>
      </c>
      <c r="B27" s="7" t="s">
        <v>106</v>
      </c>
      <c r="C27" s="7" t="s">
        <v>107</v>
      </c>
      <c r="D27" s="7" t="s">
        <v>37</v>
      </c>
      <c r="E27" s="7" t="s">
        <v>27</v>
      </c>
      <c r="F27" s="2">
        <f>DATE(2025,4,13)+TIME(16,55,28)</f>
        <v>45760.70518518519</v>
      </c>
      <c r="G27" s="7" t="s">
        <v>81</v>
      </c>
      <c r="H27" s="11">
        <v>0</v>
      </c>
      <c r="I27" s="11">
        <v>470</v>
      </c>
      <c r="J27" s="7" t="s">
        <v>39</v>
      </c>
      <c r="K27" s="7" t="s">
        <v>40</v>
      </c>
      <c r="L27" s="7"/>
    </row>
    <row r="28" spans="1:12" ht="11.25">
      <c r="A28" s="12" t="s">
        <v>108</v>
      </c>
      <c r="B28" s="8" t="s">
        <v>109</v>
      </c>
      <c r="C28" s="8" t="s">
        <v>110</v>
      </c>
      <c r="D28" s="8" t="s">
        <v>37</v>
      </c>
      <c r="E28" s="8" t="s">
        <v>27</v>
      </c>
      <c r="F28" s="4">
        <f>DATE(2025,4,14)+TIME(7,41,42)</f>
        <v>45761.320625</v>
      </c>
      <c r="G28" s="8" t="s">
        <v>81</v>
      </c>
      <c r="H28" s="13">
        <v>0</v>
      </c>
      <c r="I28" s="13">
        <v>350</v>
      </c>
      <c r="J28" s="8" t="s">
        <v>39</v>
      </c>
      <c r="K28" s="8" t="s">
        <v>40</v>
      </c>
      <c r="L28" s="8"/>
    </row>
    <row r="29" spans="1:12" ht="11.25">
      <c r="A29" s="10" t="s">
        <v>111</v>
      </c>
      <c r="B29" s="7" t="s">
        <v>112</v>
      </c>
      <c r="C29" s="7" t="s">
        <v>54</v>
      </c>
      <c r="D29" s="7" t="s">
        <v>37</v>
      </c>
      <c r="E29" s="7" t="s">
        <v>25</v>
      </c>
      <c r="F29" s="2">
        <f>DATE(2025,4,9)+TIME(17,27,29)</f>
        <v>45756.72741898148</v>
      </c>
      <c r="G29" s="7" t="s">
        <v>38</v>
      </c>
      <c r="H29" s="11">
        <v>0</v>
      </c>
      <c r="I29" s="11">
        <v>150</v>
      </c>
      <c r="J29" s="7" t="s">
        <v>39</v>
      </c>
      <c r="K29" s="7" t="s">
        <v>40</v>
      </c>
      <c r="L29" s="7"/>
    </row>
    <row r="30" spans="1:12" ht="11.25">
      <c r="A30" s="12" t="s">
        <v>113</v>
      </c>
      <c r="B30" s="8" t="s">
        <v>114</v>
      </c>
      <c r="C30" s="8" t="s">
        <v>115</v>
      </c>
      <c r="D30" s="8" t="s">
        <v>37</v>
      </c>
      <c r="E30" s="8" t="s">
        <v>25</v>
      </c>
      <c r="F30" s="4">
        <f>DATE(2025,2,18)+TIME(12,53,7)</f>
        <v>45706.536886574075</v>
      </c>
      <c r="G30" s="8" t="s">
        <v>38</v>
      </c>
      <c r="H30" s="13">
        <v>0</v>
      </c>
      <c r="I30" s="13">
        <v>150</v>
      </c>
      <c r="J30" s="8" t="s">
        <v>39</v>
      </c>
      <c r="K30" s="8" t="s">
        <v>40</v>
      </c>
      <c r="L30" s="8"/>
    </row>
    <row r="31" spans="1:12" ht="11.25">
      <c r="A31" s="10" t="s">
        <v>116</v>
      </c>
      <c r="B31" s="7" t="s">
        <v>117</v>
      </c>
      <c r="C31" s="7" t="s">
        <v>118</v>
      </c>
      <c r="D31" s="7" t="s">
        <v>37</v>
      </c>
      <c r="E31" s="7" t="s">
        <v>29</v>
      </c>
      <c r="F31" s="2">
        <f>DATE(2025,4,2)+TIME(11,37,57)</f>
        <v>45749.4846875</v>
      </c>
      <c r="G31" s="7"/>
      <c r="H31" s="11">
        <v>0</v>
      </c>
      <c r="I31" s="11">
        <v>0</v>
      </c>
      <c r="J31" s="7" t="s">
        <v>39</v>
      </c>
      <c r="K31" s="7" t="s">
        <v>40</v>
      </c>
      <c r="L31" s="7" t="s">
        <v>38</v>
      </c>
    </row>
    <row r="32" spans="1:12" ht="11.25">
      <c r="A32" s="12" t="s">
        <v>119</v>
      </c>
      <c r="B32" s="8" t="s">
        <v>120</v>
      </c>
      <c r="C32" s="8" t="s">
        <v>54</v>
      </c>
      <c r="D32" s="8" t="s">
        <v>37</v>
      </c>
      <c r="E32" s="8" t="s">
        <v>25</v>
      </c>
      <c r="F32" s="4">
        <f>DATE(2025,3,20)+TIME(7,13,14)</f>
        <v>45736.30085648148</v>
      </c>
      <c r="G32" s="8" t="s">
        <v>38</v>
      </c>
      <c r="H32" s="13">
        <v>0</v>
      </c>
      <c r="I32" s="13">
        <v>150</v>
      </c>
      <c r="J32" s="8" t="s">
        <v>39</v>
      </c>
      <c r="K32" s="8" t="s">
        <v>40</v>
      </c>
      <c r="L32" s="8"/>
    </row>
    <row r="33" spans="1:12" ht="11.25">
      <c r="A33" s="10" t="s">
        <v>121</v>
      </c>
      <c r="B33" s="7" t="s">
        <v>122</v>
      </c>
      <c r="C33" s="7" t="s">
        <v>123</v>
      </c>
      <c r="D33" s="7" t="s">
        <v>37</v>
      </c>
      <c r="E33" s="7" t="s">
        <v>24</v>
      </c>
      <c r="F33" s="2">
        <f>DATE(2025,2,23)+TIME(15,51,16)</f>
        <v>45711.66060185185</v>
      </c>
      <c r="G33" s="7" t="s">
        <v>38</v>
      </c>
      <c r="H33" s="11">
        <v>0</v>
      </c>
      <c r="I33" s="11">
        <v>0</v>
      </c>
      <c r="J33" s="7" t="s">
        <v>39</v>
      </c>
      <c r="K33" s="7" t="s">
        <v>40</v>
      </c>
      <c r="L33" s="7" t="s">
        <v>38</v>
      </c>
    </row>
    <row r="34" spans="1:12" ht="11.25">
      <c r="A34" s="12" t="s">
        <v>124</v>
      </c>
      <c r="B34" s="8" t="s">
        <v>125</v>
      </c>
      <c r="C34" s="8" t="s">
        <v>67</v>
      </c>
      <c r="D34" s="8" t="s">
        <v>37</v>
      </c>
      <c r="E34" s="8" t="s">
        <v>25</v>
      </c>
      <c r="F34" s="4">
        <f>DATE(2025,3,3)+TIME(16,15,56)</f>
        <v>45719.67773148148</v>
      </c>
      <c r="G34" s="8" t="s">
        <v>38</v>
      </c>
      <c r="H34" s="13">
        <v>0</v>
      </c>
      <c r="I34" s="13">
        <v>150</v>
      </c>
      <c r="J34" s="8" t="s">
        <v>39</v>
      </c>
      <c r="K34" s="8" t="s">
        <v>40</v>
      </c>
      <c r="L34" s="8"/>
    </row>
    <row r="35" spans="1:12" ht="11.25">
      <c r="A35" s="10" t="s">
        <v>126</v>
      </c>
      <c r="B35" s="7" t="s">
        <v>127</v>
      </c>
      <c r="C35" s="7" t="s">
        <v>61</v>
      </c>
      <c r="D35" s="7" t="s">
        <v>37</v>
      </c>
      <c r="E35" s="7" t="s">
        <v>28</v>
      </c>
      <c r="F35" s="2">
        <f>DATE(2025,2,27)+TIME(15,25,58)</f>
        <v>45715.64303240741</v>
      </c>
      <c r="G35" s="7" t="s">
        <v>38</v>
      </c>
      <c r="H35" s="11">
        <v>0</v>
      </c>
      <c r="I35" s="11">
        <v>250</v>
      </c>
      <c r="J35" s="7" t="s">
        <v>39</v>
      </c>
      <c r="K35" s="7" t="s">
        <v>40</v>
      </c>
      <c r="L35" s="7"/>
    </row>
    <row r="36" spans="1:12" ht="11.25">
      <c r="A36" s="12" t="s">
        <v>128</v>
      </c>
      <c r="B36" s="8" t="s">
        <v>129</v>
      </c>
      <c r="C36" s="8" t="s">
        <v>123</v>
      </c>
      <c r="D36" s="8" t="s">
        <v>37</v>
      </c>
      <c r="E36" s="8" t="s">
        <v>30</v>
      </c>
      <c r="F36" s="4">
        <f>DATE(2025,4,8)+TIME(3,4,37)</f>
        <v>45755.12820601852</v>
      </c>
      <c r="G36" s="8" t="s">
        <v>38</v>
      </c>
      <c r="H36" s="13">
        <v>0</v>
      </c>
      <c r="I36" s="13">
        <v>0</v>
      </c>
      <c r="J36" s="8" t="s">
        <v>39</v>
      </c>
      <c r="K36" s="8" t="s">
        <v>48</v>
      </c>
      <c r="L36" s="8"/>
    </row>
    <row r="37" spans="1:12" ht="11.25">
      <c r="A37" s="10" t="s">
        <v>130</v>
      </c>
      <c r="B37" s="7" t="s">
        <v>131</v>
      </c>
      <c r="C37" s="7" t="s">
        <v>132</v>
      </c>
      <c r="D37" s="7" t="s">
        <v>37</v>
      </c>
      <c r="E37" s="7" t="s">
        <v>23</v>
      </c>
      <c r="F37" s="2">
        <f>DATE(2025,3,3)+TIME(4,25,47)</f>
        <v>45719.18457175926</v>
      </c>
      <c r="G37" s="7" t="s">
        <v>133</v>
      </c>
      <c r="H37" s="11">
        <v>550</v>
      </c>
      <c r="I37" s="11">
        <v>550</v>
      </c>
      <c r="J37" s="7" t="s">
        <v>39</v>
      </c>
      <c r="K37" s="7" t="s">
        <v>40</v>
      </c>
      <c r="L37" s="7"/>
    </row>
    <row r="38" spans="1:12" ht="11.25">
      <c r="A38" s="12" t="s">
        <v>134</v>
      </c>
      <c r="B38" s="8" t="s">
        <v>135</v>
      </c>
      <c r="C38" s="8" t="s">
        <v>54</v>
      </c>
      <c r="D38" s="8" t="s">
        <v>37</v>
      </c>
      <c r="E38" s="8" t="s">
        <v>25</v>
      </c>
      <c r="F38" s="4">
        <f>DATE(2025,2,2)+TIME(17,21,53)</f>
        <v>45690.72353009259</v>
      </c>
      <c r="G38" s="8" t="s">
        <v>38</v>
      </c>
      <c r="H38" s="13">
        <v>0</v>
      </c>
      <c r="I38" s="13">
        <v>150</v>
      </c>
      <c r="J38" s="8" t="s">
        <v>39</v>
      </c>
      <c r="K38" s="8" t="s">
        <v>40</v>
      </c>
      <c r="L38" s="8"/>
    </row>
    <row r="39" spans="1:12" ht="11.25">
      <c r="A39" s="10" t="s">
        <v>136</v>
      </c>
      <c r="B39" s="7" t="s">
        <v>137</v>
      </c>
      <c r="C39" s="7" t="s">
        <v>54</v>
      </c>
      <c r="D39" s="7" t="s">
        <v>37</v>
      </c>
      <c r="E39" s="7" t="s">
        <v>24</v>
      </c>
      <c r="F39" s="2">
        <f>DATE(2025,3,10)+TIME(14,57,32)</f>
        <v>45726.62328703704</v>
      </c>
      <c r="G39" s="7" t="s">
        <v>38</v>
      </c>
      <c r="H39" s="11">
        <v>0</v>
      </c>
      <c r="I39" s="11">
        <v>0</v>
      </c>
      <c r="J39" s="7" t="s">
        <v>39</v>
      </c>
      <c r="K39" s="7" t="s">
        <v>40</v>
      </c>
      <c r="L39" s="7"/>
    </row>
    <row r="40" spans="1:12" ht="11.25">
      <c r="A40" s="12" t="s">
        <v>138</v>
      </c>
      <c r="B40" s="8" t="s">
        <v>139</v>
      </c>
      <c r="C40" s="8" t="s">
        <v>140</v>
      </c>
      <c r="D40" s="8" t="s">
        <v>37</v>
      </c>
      <c r="E40" s="8" t="s">
        <v>29</v>
      </c>
      <c r="F40" s="4">
        <f>DATE(2025,2,27)+TIME(16,46,6)</f>
        <v>45715.69868055556</v>
      </c>
      <c r="G40" s="8"/>
      <c r="H40" s="13">
        <v>0</v>
      </c>
      <c r="I40" s="13">
        <v>0</v>
      </c>
      <c r="J40" s="8" t="s">
        <v>39</v>
      </c>
      <c r="K40" s="8" t="s">
        <v>40</v>
      </c>
      <c r="L40" s="8" t="s">
        <v>38</v>
      </c>
    </row>
    <row r="41" spans="1:12" ht="11.25">
      <c r="A41" s="10" t="s">
        <v>141</v>
      </c>
      <c r="B41" s="7" t="s">
        <v>142</v>
      </c>
      <c r="C41" s="7" t="s">
        <v>143</v>
      </c>
      <c r="D41" s="7" t="s">
        <v>37</v>
      </c>
      <c r="E41" s="7" t="s">
        <v>26</v>
      </c>
      <c r="F41" s="2">
        <f>DATE(2025,4,1)+TIME(12,17,57)</f>
        <v>45748.51246527778</v>
      </c>
      <c r="G41" s="7" t="s">
        <v>38</v>
      </c>
      <c r="H41" s="11">
        <v>0</v>
      </c>
      <c r="I41" s="11">
        <v>0</v>
      </c>
      <c r="J41" s="7" t="s">
        <v>39</v>
      </c>
      <c r="K41" s="7" t="s">
        <v>40</v>
      </c>
      <c r="L41" s="7"/>
    </row>
    <row r="42" spans="1:12" ht="11.25">
      <c r="A42" s="12" t="s">
        <v>144</v>
      </c>
      <c r="B42" s="8" t="s">
        <v>145</v>
      </c>
      <c r="C42" s="8" t="s">
        <v>54</v>
      </c>
      <c r="D42" s="8" t="s">
        <v>37</v>
      </c>
      <c r="E42" s="8" t="s">
        <v>26</v>
      </c>
      <c r="F42" s="4">
        <f>DATE(2025,3,5)+TIME(5,34,9)</f>
        <v>45721.23204861111</v>
      </c>
      <c r="G42" s="8" t="s">
        <v>38</v>
      </c>
      <c r="H42" s="13">
        <v>0</v>
      </c>
      <c r="I42" s="13">
        <v>0</v>
      </c>
      <c r="J42" s="8" t="s">
        <v>39</v>
      </c>
      <c r="K42" s="8" t="s">
        <v>40</v>
      </c>
      <c r="L42" s="8"/>
    </row>
    <row r="43" spans="1:12" ht="11.25">
      <c r="A43" s="10" t="s">
        <v>146</v>
      </c>
      <c r="B43" s="7" t="s">
        <v>147</v>
      </c>
      <c r="C43" s="7" t="s">
        <v>148</v>
      </c>
      <c r="D43" s="7" t="s">
        <v>37</v>
      </c>
      <c r="E43" s="7" t="s">
        <v>28</v>
      </c>
      <c r="F43" s="2">
        <f>DATE(2025,2,3)+TIME(19,13,46)</f>
        <v>45691.80122685185</v>
      </c>
      <c r="G43" s="7" t="s">
        <v>38</v>
      </c>
      <c r="H43" s="11">
        <v>0</v>
      </c>
      <c r="I43" s="11">
        <v>250</v>
      </c>
      <c r="J43" s="7" t="s">
        <v>39</v>
      </c>
      <c r="K43" s="7" t="s">
        <v>40</v>
      </c>
      <c r="L43" s="7"/>
    </row>
    <row r="44" spans="1:12" ht="11.25">
      <c r="A44" s="12" t="s">
        <v>149</v>
      </c>
      <c r="B44" s="8" t="s">
        <v>150</v>
      </c>
      <c r="C44" s="8" t="s">
        <v>95</v>
      </c>
      <c r="D44" s="8" t="s">
        <v>37</v>
      </c>
      <c r="E44" s="8" t="s">
        <v>24</v>
      </c>
      <c r="F44" s="4">
        <f>DATE(2025,2,21)+TIME(14,37,40)</f>
        <v>45709.60949074074</v>
      </c>
      <c r="G44" s="8" t="s">
        <v>38</v>
      </c>
      <c r="H44" s="13">
        <v>0</v>
      </c>
      <c r="I44" s="13">
        <v>200</v>
      </c>
      <c r="J44" s="8" t="s">
        <v>39</v>
      </c>
      <c r="K44" s="8" t="s">
        <v>40</v>
      </c>
      <c r="L44" s="8"/>
    </row>
    <row r="45" spans="1:12" ht="11.25">
      <c r="A45" s="10" t="s">
        <v>151</v>
      </c>
      <c r="B45" s="7" t="s">
        <v>152</v>
      </c>
      <c r="C45" s="7" t="s">
        <v>153</v>
      </c>
      <c r="D45" s="7" t="s">
        <v>37</v>
      </c>
      <c r="E45" s="7" t="s">
        <v>29</v>
      </c>
      <c r="F45" s="2">
        <f>DATE(2025,4,3)+TIME(16,16,6)</f>
        <v>45750.67784722222</v>
      </c>
      <c r="G45" s="7"/>
      <c r="H45" s="11">
        <v>0</v>
      </c>
      <c r="I45" s="11">
        <v>0</v>
      </c>
      <c r="J45" s="7" t="s">
        <v>39</v>
      </c>
      <c r="K45" s="7" t="s">
        <v>40</v>
      </c>
      <c r="L45" s="7" t="s">
        <v>154</v>
      </c>
    </row>
    <row r="46" spans="1:12" ht="11.25">
      <c r="A46" s="12" t="s">
        <v>155</v>
      </c>
      <c r="B46" s="8" t="s">
        <v>156</v>
      </c>
      <c r="C46" s="8" t="s">
        <v>157</v>
      </c>
      <c r="D46" s="8" t="s">
        <v>37</v>
      </c>
      <c r="E46" s="8" t="s">
        <v>23</v>
      </c>
      <c r="F46" s="4">
        <f>DATE(2025,2,11)+TIME(15,21,55)</f>
        <v>45699.64021990741</v>
      </c>
      <c r="G46" s="8" t="s">
        <v>38</v>
      </c>
      <c r="H46" s="13">
        <v>450</v>
      </c>
      <c r="I46" s="13">
        <v>450</v>
      </c>
      <c r="J46" s="8" t="s">
        <v>39</v>
      </c>
      <c r="K46" s="8" t="s">
        <v>40</v>
      </c>
      <c r="L46" s="8"/>
    </row>
    <row r="47" spans="1:12" ht="11.25">
      <c r="A47" s="10" t="s">
        <v>158</v>
      </c>
      <c r="B47" s="7" t="s">
        <v>159</v>
      </c>
      <c r="C47" s="7" t="s">
        <v>160</v>
      </c>
      <c r="D47" s="7" t="s">
        <v>37</v>
      </c>
      <c r="E47" s="7" t="s">
        <v>25</v>
      </c>
      <c r="F47" s="2">
        <f>DATE(2025,1,16)+TIME(15,57,56)</f>
        <v>45673.66523148148</v>
      </c>
      <c r="G47" s="7" t="s">
        <v>38</v>
      </c>
      <c r="H47" s="11">
        <v>150</v>
      </c>
      <c r="I47" s="11">
        <v>150</v>
      </c>
      <c r="J47" s="7" t="s">
        <v>39</v>
      </c>
      <c r="K47" s="7" t="s">
        <v>40</v>
      </c>
      <c r="L47" s="7"/>
    </row>
    <row r="48" spans="1:12" ht="11.25">
      <c r="A48" s="12" t="s">
        <v>161</v>
      </c>
      <c r="B48" s="8" t="s">
        <v>162</v>
      </c>
      <c r="C48" s="8" t="s">
        <v>163</v>
      </c>
      <c r="D48" s="8" t="s">
        <v>37</v>
      </c>
      <c r="E48" s="8" t="s">
        <v>26</v>
      </c>
      <c r="F48" s="4">
        <f>DATE(2024,12,13)+TIME(11,47,42)</f>
        <v>45639.49145833333</v>
      </c>
      <c r="G48" s="8" t="s">
        <v>38</v>
      </c>
      <c r="H48" s="13">
        <v>0</v>
      </c>
      <c r="I48" s="13">
        <v>0</v>
      </c>
      <c r="J48" s="8" t="s">
        <v>39</v>
      </c>
      <c r="K48" s="8" t="s">
        <v>40</v>
      </c>
      <c r="L48" s="8"/>
    </row>
    <row r="49" spans="1:12" ht="11.25">
      <c r="A49" s="10" t="s">
        <v>164</v>
      </c>
      <c r="B49" s="7" t="s">
        <v>165</v>
      </c>
      <c r="C49" s="7" t="s">
        <v>166</v>
      </c>
      <c r="D49" s="7" t="s">
        <v>37</v>
      </c>
      <c r="E49" s="7" t="s">
        <v>23</v>
      </c>
      <c r="F49" s="2">
        <f>DATE(2025,4,4)+TIME(12,52,52)</f>
        <v>45751.53671296296</v>
      </c>
      <c r="G49" s="7" t="s">
        <v>38</v>
      </c>
      <c r="H49" s="11">
        <v>550</v>
      </c>
      <c r="I49" s="11">
        <v>550</v>
      </c>
      <c r="J49" s="7" t="s">
        <v>39</v>
      </c>
      <c r="K49" s="7" t="s">
        <v>40</v>
      </c>
      <c r="L49" s="7"/>
    </row>
    <row r="50" spans="1:12" ht="11.25">
      <c r="A50" s="12" t="s">
        <v>167</v>
      </c>
      <c r="B50" s="8" t="s">
        <v>168</v>
      </c>
      <c r="C50" s="8" t="s">
        <v>169</v>
      </c>
      <c r="D50" s="8" t="s">
        <v>37</v>
      </c>
      <c r="E50" s="8" t="s">
        <v>24</v>
      </c>
      <c r="F50" s="4">
        <f>DATE(2025,3,10)+TIME(13,16,11)</f>
        <v>45726.55290509259</v>
      </c>
      <c r="G50" s="8" t="s">
        <v>38</v>
      </c>
      <c r="H50" s="13">
        <v>0</v>
      </c>
      <c r="I50" s="13">
        <v>0</v>
      </c>
      <c r="J50" s="8" t="s">
        <v>39</v>
      </c>
      <c r="K50" s="8" t="s">
        <v>40</v>
      </c>
      <c r="L50" s="8"/>
    </row>
    <row r="51" spans="1:12" ht="11.25">
      <c r="A51" s="10" t="s">
        <v>170</v>
      </c>
      <c r="B51" s="7" t="s">
        <v>171</v>
      </c>
      <c r="C51" s="7" t="s">
        <v>172</v>
      </c>
      <c r="D51" s="7" t="s">
        <v>37</v>
      </c>
      <c r="E51" s="7" t="s">
        <v>24</v>
      </c>
      <c r="F51" s="2">
        <f>DATE(2025,2,6)+TIME(19,35,34)</f>
        <v>45694.81636574074</v>
      </c>
      <c r="G51" s="7" t="s">
        <v>173</v>
      </c>
      <c r="H51" s="11">
        <v>0</v>
      </c>
      <c r="I51" s="11">
        <v>0</v>
      </c>
      <c r="J51" s="7" t="s">
        <v>39</v>
      </c>
      <c r="K51" s="7" t="s">
        <v>40</v>
      </c>
      <c r="L51" s="7"/>
    </row>
    <row r="52" spans="1:12" ht="11.25">
      <c r="A52" s="12" t="s">
        <v>174</v>
      </c>
      <c r="B52" s="8" t="s">
        <v>175</v>
      </c>
      <c r="C52" s="8" t="s">
        <v>67</v>
      </c>
      <c r="D52" s="8" t="s">
        <v>37</v>
      </c>
      <c r="E52" s="8" t="s">
        <v>28</v>
      </c>
      <c r="F52" s="4">
        <f>DATE(2025,4,10)+TIME(11,44,14)</f>
        <v>45757.48905092593</v>
      </c>
      <c r="G52" s="8" t="s">
        <v>154</v>
      </c>
      <c r="H52" s="13">
        <v>0</v>
      </c>
      <c r="I52" s="13">
        <v>250</v>
      </c>
      <c r="J52" s="8" t="s">
        <v>39</v>
      </c>
      <c r="K52" s="8" t="s">
        <v>40</v>
      </c>
      <c r="L52" s="8"/>
    </row>
    <row r="53" spans="1:12" ht="11.25">
      <c r="A53" s="10" t="s">
        <v>176</v>
      </c>
      <c r="B53" s="7" t="s">
        <v>177</v>
      </c>
      <c r="C53" s="7" t="s">
        <v>61</v>
      </c>
      <c r="D53" s="7" t="s">
        <v>37</v>
      </c>
      <c r="E53" s="7" t="s">
        <v>29</v>
      </c>
      <c r="F53" s="2">
        <f>DATE(2025,3,3)+TIME(14,45,57)</f>
        <v>45719.61524305555</v>
      </c>
      <c r="G53" s="7" t="s">
        <v>38</v>
      </c>
      <c r="H53" s="11">
        <v>0</v>
      </c>
      <c r="I53" s="11">
        <v>0</v>
      </c>
      <c r="J53" s="7" t="s">
        <v>39</v>
      </c>
      <c r="K53" s="7" t="s">
        <v>40</v>
      </c>
      <c r="L53" s="7" t="s">
        <v>154</v>
      </c>
    </row>
    <row r="54" spans="1:12" ht="11.25">
      <c r="A54" s="12" t="s">
        <v>178</v>
      </c>
      <c r="B54" s="8" t="s">
        <v>179</v>
      </c>
      <c r="C54" s="8" t="s">
        <v>54</v>
      </c>
      <c r="D54" s="8" t="s">
        <v>37</v>
      </c>
      <c r="E54" s="8" t="s">
        <v>28</v>
      </c>
      <c r="F54" s="4">
        <f>DATE(2025,4,1)+TIME(11,48,32)</f>
        <v>45748.49203703704</v>
      </c>
      <c r="G54" s="8" t="s">
        <v>38</v>
      </c>
      <c r="H54" s="13">
        <v>0</v>
      </c>
      <c r="I54" s="13">
        <v>250</v>
      </c>
      <c r="J54" s="8" t="s">
        <v>39</v>
      </c>
      <c r="K54" s="8" t="s">
        <v>40</v>
      </c>
      <c r="L54" s="8" t="s">
        <v>38</v>
      </c>
    </row>
    <row r="55" spans="1:12" ht="11.25">
      <c r="A55" s="10" t="s">
        <v>180</v>
      </c>
      <c r="B55" s="7" t="s">
        <v>181</v>
      </c>
      <c r="C55" s="7" t="s">
        <v>182</v>
      </c>
      <c r="D55" s="7" t="s">
        <v>37</v>
      </c>
      <c r="E55" s="7" t="s">
        <v>30</v>
      </c>
      <c r="F55" s="2">
        <f>DATE(2025,3,26)+TIME(16,16,19)</f>
        <v>45742.67799768518</v>
      </c>
      <c r="G55" s="7" t="s">
        <v>38</v>
      </c>
      <c r="H55" s="11">
        <v>0</v>
      </c>
      <c r="I55" s="11">
        <v>0</v>
      </c>
      <c r="J55" s="7" t="s">
        <v>39</v>
      </c>
      <c r="K55" s="7" t="s">
        <v>48</v>
      </c>
      <c r="L55" s="7"/>
    </row>
    <row r="56" spans="1:12" ht="11.25">
      <c r="A56" s="12" t="s">
        <v>183</v>
      </c>
      <c r="B56" s="8" t="s">
        <v>184</v>
      </c>
      <c r="C56" s="8" t="s">
        <v>185</v>
      </c>
      <c r="D56" s="8" t="s">
        <v>37</v>
      </c>
      <c r="E56" s="8" t="s">
        <v>23</v>
      </c>
      <c r="F56" s="4">
        <f>DATE(2025,4,1)+TIME(8,9,35)</f>
        <v>45748.33998842593</v>
      </c>
      <c r="G56" s="8" t="s">
        <v>81</v>
      </c>
      <c r="H56" s="13">
        <v>550</v>
      </c>
      <c r="I56" s="13">
        <v>550</v>
      </c>
      <c r="J56" s="8" t="s">
        <v>39</v>
      </c>
      <c r="K56" s="8" t="s">
        <v>40</v>
      </c>
      <c r="L56" s="8"/>
    </row>
    <row r="57" spans="1:12" ht="11.25">
      <c r="A57" s="10" t="s">
        <v>186</v>
      </c>
      <c r="B57" s="7" t="s">
        <v>187</v>
      </c>
      <c r="C57" s="7" t="s">
        <v>188</v>
      </c>
      <c r="D57" s="7" t="s">
        <v>37</v>
      </c>
      <c r="E57" s="7" t="s">
        <v>27</v>
      </c>
      <c r="F57" s="2">
        <f>DATE(2025,4,13)+TIME(16,19,36)</f>
        <v>45760.68027777778</v>
      </c>
      <c r="G57" s="7" t="s">
        <v>81</v>
      </c>
      <c r="H57" s="11">
        <v>0</v>
      </c>
      <c r="I57" s="11">
        <v>470</v>
      </c>
      <c r="J57" s="7" t="s">
        <v>39</v>
      </c>
      <c r="K57" s="7" t="s">
        <v>40</v>
      </c>
      <c r="L57" s="7"/>
    </row>
    <row r="58" spans="1:12" ht="11.25">
      <c r="A58" s="12" t="s">
        <v>189</v>
      </c>
      <c r="B58" s="8" t="s">
        <v>190</v>
      </c>
      <c r="C58" s="8" t="s">
        <v>191</v>
      </c>
      <c r="D58" s="8" t="s">
        <v>37</v>
      </c>
      <c r="E58" s="8" t="s">
        <v>24</v>
      </c>
      <c r="F58" s="4">
        <f>DATE(2025,3,21)+TIME(3,4,42)</f>
        <v>45737.12826388889</v>
      </c>
      <c r="G58" s="8" t="s">
        <v>192</v>
      </c>
      <c r="H58" s="13">
        <v>0</v>
      </c>
      <c r="I58" s="13">
        <v>0</v>
      </c>
      <c r="J58" s="8" t="s">
        <v>39</v>
      </c>
      <c r="K58" s="8" t="s">
        <v>40</v>
      </c>
      <c r="L58" s="8"/>
    </row>
    <row r="59" spans="1:12" ht="11.25">
      <c r="A59" s="10" t="s">
        <v>193</v>
      </c>
      <c r="B59" s="7" t="s">
        <v>194</v>
      </c>
      <c r="C59" s="7" t="s">
        <v>195</v>
      </c>
      <c r="D59" s="7" t="s">
        <v>37</v>
      </c>
      <c r="E59" s="7" t="s">
        <v>23</v>
      </c>
      <c r="F59" s="2">
        <f>DATE(2025,2,27)+TIME(15,37,28)</f>
        <v>45715.65101851852</v>
      </c>
      <c r="G59" s="7" t="s">
        <v>38</v>
      </c>
      <c r="H59" s="11">
        <v>450</v>
      </c>
      <c r="I59" s="11">
        <v>450</v>
      </c>
      <c r="J59" s="7" t="s">
        <v>39</v>
      </c>
      <c r="K59" s="7" t="s">
        <v>40</v>
      </c>
      <c r="L59" s="7"/>
    </row>
    <row r="60" spans="1:12" ht="11.25">
      <c r="A60" s="12" t="s">
        <v>196</v>
      </c>
      <c r="B60" s="8" t="s">
        <v>197</v>
      </c>
      <c r="C60" s="8" t="s">
        <v>198</v>
      </c>
      <c r="D60" s="8" t="s">
        <v>37</v>
      </c>
      <c r="E60" s="8" t="s">
        <v>26</v>
      </c>
      <c r="F60" s="4">
        <f>DATE(2024,11,20)+TIME(8,27,59)</f>
        <v>45616.3527662037</v>
      </c>
      <c r="G60" s="8" t="s">
        <v>38</v>
      </c>
      <c r="H60" s="13">
        <v>0</v>
      </c>
      <c r="I60" s="13">
        <v>0</v>
      </c>
      <c r="J60" s="8" t="s">
        <v>39</v>
      </c>
      <c r="K60" s="8" t="s">
        <v>40</v>
      </c>
      <c r="L60" s="8"/>
    </row>
    <row r="61" spans="1:12" ht="11.25">
      <c r="A61" s="10" t="s">
        <v>199</v>
      </c>
      <c r="B61" s="7" t="s">
        <v>200</v>
      </c>
      <c r="C61" s="7" t="s">
        <v>148</v>
      </c>
      <c r="D61" s="7" t="s">
        <v>37</v>
      </c>
      <c r="E61" s="7" t="s">
        <v>28</v>
      </c>
      <c r="F61" s="2">
        <f>DATE(2025,4,11)+TIME(17,51,20)</f>
        <v>45758.74398148148</v>
      </c>
      <c r="G61" s="7" t="s">
        <v>38</v>
      </c>
      <c r="H61" s="11">
        <v>0</v>
      </c>
      <c r="I61" s="11">
        <v>250</v>
      </c>
      <c r="J61" s="7" t="s">
        <v>39</v>
      </c>
      <c r="K61" s="7" t="s">
        <v>40</v>
      </c>
      <c r="L61" s="7"/>
    </row>
    <row r="62" spans="1:12" ht="11.25">
      <c r="A62" s="12" t="s">
        <v>201</v>
      </c>
      <c r="B62" s="8" t="s">
        <v>202</v>
      </c>
      <c r="C62" s="8" t="s">
        <v>101</v>
      </c>
      <c r="D62" s="8" t="s">
        <v>37</v>
      </c>
      <c r="E62" s="8" t="s">
        <v>27</v>
      </c>
      <c r="F62" s="4">
        <f>DATE(2025,4,13)+TIME(15,31,54)</f>
        <v>45760.647152777776</v>
      </c>
      <c r="G62" s="8" t="s">
        <v>81</v>
      </c>
      <c r="H62" s="13">
        <v>0</v>
      </c>
      <c r="I62" s="13">
        <v>470</v>
      </c>
      <c r="J62" s="8" t="s">
        <v>39</v>
      </c>
      <c r="K62" s="8" t="s">
        <v>40</v>
      </c>
      <c r="L62" s="8"/>
    </row>
    <row r="63" spans="1:12" ht="11.25">
      <c r="A63" s="10" t="s">
        <v>203</v>
      </c>
      <c r="B63" s="7" t="s">
        <v>204</v>
      </c>
      <c r="C63" s="7" t="s">
        <v>205</v>
      </c>
      <c r="D63" s="7" t="s">
        <v>37</v>
      </c>
      <c r="E63" s="7" t="s">
        <v>26</v>
      </c>
      <c r="F63" s="2">
        <f>DATE(2024,11,22)+TIME(14,49,37)</f>
        <v>45618.617789351854</v>
      </c>
      <c r="G63" s="7" t="s">
        <v>38</v>
      </c>
      <c r="H63" s="11">
        <v>0</v>
      </c>
      <c r="I63" s="11">
        <v>0</v>
      </c>
      <c r="J63" s="7" t="s">
        <v>39</v>
      </c>
      <c r="K63" s="7" t="s">
        <v>40</v>
      </c>
      <c r="L63" s="7"/>
    </row>
    <row r="64" spans="1:12" ht="11.25">
      <c r="A64" s="12" t="s">
        <v>206</v>
      </c>
      <c r="B64" s="8" t="s">
        <v>207</v>
      </c>
      <c r="C64" s="8" t="s">
        <v>208</v>
      </c>
      <c r="D64" s="8" t="s">
        <v>37</v>
      </c>
      <c r="E64" s="8" t="s">
        <v>24</v>
      </c>
      <c r="F64" s="4">
        <f>DATE(2025,3,12)+TIME(13,38,51)</f>
        <v>45728.56864583334</v>
      </c>
      <c r="G64" s="8" t="s">
        <v>38</v>
      </c>
      <c r="H64" s="13">
        <v>20</v>
      </c>
      <c r="I64" s="13">
        <v>20</v>
      </c>
      <c r="J64" s="8" t="s">
        <v>39</v>
      </c>
      <c r="K64" s="8" t="s">
        <v>40</v>
      </c>
      <c r="L64" s="8"/>
    </row>
    <row r="65" spans="1:12" ht="11.25">
      <c r="A65" s="10" t="s">
        <v>209</v>
      </c>
      <c r="B65" s="7" t="s">
        <v>210</v>
      </c>
      <c r="C65" s="7" t="s">
        <v>67</v>
      </c>
      <c r="D65" s="7" t="s">
        <v>37</v>
      </c>
      <c r="E65" s="7" t="s">
        <v>28</v>
      </c>
      <c r="F65" s="2">
        <f>DATE(2025,4,8)+TIME(10,33,21)</f>
        <v>45755.43982638889</v>
      </c>
      <c r="G65" s="7" t="s">
        <v>38</v>
      </c>
      <c r="H65" s="11">
        <v>250</v>
      </c>
      <c r="I65" s="11">
        <v>250</v>
      </c>
      <c r="J65" s="7" t="s">
        <v>39</v>
      </c>
      <c r="K65" s="7" t="s">
        <v>40</v>
      </c>
      <c r="L65" s="7" t="s">
        <v>38</v>
      </c>
    </row>
    <row r="66" spans="1:12" ht="11.25">
      <c r="A66" s="12" t="s">
        <v>211</v>
      </c>
      <c r="B66" s="8" t="s">
        <v>212</v>
      </c>
      <c r="C66" s="8" t="s">
        <v>54</v>
      </c>
      <c r="D66" s="8" t="s">
        <v>37</v>
      </c>
      <c r="E66" s="8" t="s">
        <v>28</v>
      </c>
      <c r="F66" s="4">
        <f>DATE(2025,3,3)+TIME(14,58,3)</f>
        <v>45719.62364583334</v>
      </c>
      <c r="G66" s="8" t="s">
        <v>38</v>
      </c>
      <c r="H66" s="13">
        <v>0</v>
      </c>
      <c r="I66" s="13">
        <v>250</v>
      </c>
      <c r="J66" s="8" t="s">
        <v>39</v>
      </c>
      <c r="K66" s="8" t="s">
        <v>40</v>
      </c>
      <c r="L66" s="8" t="s">
        <v>38</v>
      </c>
    </row>
    <row r="67" spans="1:12" ht="11.25">
      <c r="A67" s="10" t="s">
        <v>213</v>
      </c>
      <c r="B67" s="7" t="s">
        <v>214</v>
      </c>
      <c r="C67" s="7" t="s">
        <v>215</v>
      </c>
      <c r="D67" s="7" t="s">
        <v>37</v>
      </c>
      <c r="E67" s="7" t="s">
        <v>28</v>
      </c>
      <c r="F67" s="2">
        <f>DATE(2025,2,27)+TIME(8,51,13)</f>
        <v>45715.36890046296</v>
      </c>
      <c r="G67" s="7" t="s">
        <v>38</v>
      </c>
      <c r="H67" s="11">
        <v>0</v>
      </c>
      <c r="I67" s="11">
        <v>250</v>
      </c>
      <c r="J67" s="7" t="s">
        <v>39</v>
      </c>
      <c r="K67" s="7" t="s">
        <v>40</v>
      </c>
      <c r="L67" s="7"/>
    </row>
    <row r="68" spans="1:12" ht="11.25">
      <c r="A68" s="12" t="s">
        <v>216</v>
      </c>
      <c r="B68" s="8" t="s">
        <v>217</v>
      </c>
      <c r="C68" s="8" t="s">
        <v>218</v>
      </c>
      <c r="D68" s="8" t="s">
        <v>37</v>
      </c>
      <c r="E68" s="8" t="s">
        <v>23</v>
      </c>
      <c r="F68" s="4">
        <f>DATE(2025,3,21)+TIME(12,47,1)</f>
        <v>45737.53265046296</v>
      </c>
      <c r="G68" s="8" t="s">
        <v>219</v>
      </c>
      <c r="H68" s="13">
        <v>550</v>
      </c>
      <c r="I68" s="13">
        <v>550</v>
      </c>
      <c r="J68" s="8" t="s">
        <v>39</v>
      </c>
      <c r="K68" s="8" t="s">
        <v>40</v>
      </c>
      <c r="L68" s="8"/>
    </row>
    <row r="69" spans="1:12" ht="11.25">
      <c r="A69" s="10" t="s">
        <v>220</v>
      </c>
      <c r="B69" s="7" t="s">
        <v>221</v>
      </c>
      <c r="C69" s="7" t="s">
        <v>54</v>
      </c>
      <c r="D69" s="7" t="s">
        <v>37</v>
      </c>
      <c r="E69" s="7" t="s">
        <v>25</v>
      </c>
      <c r="F69" s="2">
        <f>DATE(2025,3,7)+TIME(12,30,5)</f>
        <v>45723.520891203705</v>
      </c>
      <c r="G69" s="7" t="s">
        <v>38</v>
      </c>
      <c r="H69" s="11">
        <v>20</v>
      </c>
      <c r="I69" s="11">
        <v>170</v>
      </c>
      <c r="J69" s="7" t="s">
        <v>39</v>
      </c>
      <c r="K69" s="7" t="s">
        <v>40</v>
      </c>
      <c r="L69" s="7" t="s">
        <v>38</v>
      </c>
    </row>
    <row r="70" spans="1:12" ht="11.25">
      <c r="A70" s="12" t="s">
        <v>222</v>
      </c>
      <c r="B70" s="8" t="s">
        <v>223</v>
      </c>
      <c r="C70" s="8" t="s">
        <v>224</v>
      </c>
      <c r="D70" s="8" t="s">
        <v>37</v>
      </c>
      <c r="E70" s="8" t="s">
        <v>27</v>
      </c>
      <c r="F70" s="4">
        <f>DATE(2025,3,31)+TIME(5,40,3)</f>
        <v>45747.23614583333</v>
      </c>
      <c r="G70" s="8" t="s">
        <v>225</v>
      </c>
      <c r="H70" s="13">
        <v>350</v>
      </c>
      <c r="I70" s="13">
        <v>350</v>
      </c>
      <c r="J70" s="8" t="s">
        <v>39</v>
      </c>
      <c r="K70" s="8" t="s">
        <v>40</v>
      </c>
      <c r="L70" s="8"/>
    </row>
    <row r="71" spans="1:12" ht="11.25">
      <c r="A71" s="10" t="s">
        <v>226</v>
      </c>
      <c r="B71" s="7" t="s">
        <v>227</v>
      </c>
      <c r="C71" s="7" t="s">
        <v>54</v>
      </c>
      <c r="D71" s="7" t="s">
        <v>37</v>
      </c>
      <c r="E71" s="7" t="s">
        <v>26</v>
      </c>
      <c r="F71" s="2">
        <f>DATE(2025,4,7)+TIME(16,4,39)</f>
        <v>45754.669895833336</v>
      </c>
      <c r="G71" s="7" t="s">
        <v>38</v>
      </c>
      <c r="H71" s="11">
        <v>0</v>
      </c>
      <c r="I71" s="11">
        <v>0</v>
      </c>
      <c r="J71" s="7" t="s">
        <v>39</v>
      </c>
      <c r="K71" s="7" t="s">
        <v>40</v>
      </c>
      <c r="L71" s="7"/>
    </row>
    <row r="72" spans="1:12" ht="11.25">
      <c r="A72" s="12" t="s">
        <v>228</v>
      </c>
      <c r="B72" s="8" t="s">
        <v>229</v>
      </c>
      <c r="C72" s="8" t="s">
        <v>54</v>
      </c>
      <c r="D72" s="8" t="s">
        <v>37</v>
      </c>
      <c r="E72" s="8" t="s">
        <v>24</v>
      </c>
      <c r="F72" s="4">
        <f>DATE(2025,4,4)+TIME(11,57,4)</f>
        <v>45751.49796296296</v>
      </c>
      <c r="G72" s="8" t="s">
        <v>154</v>
      </c>
      <c r="H72" s="13">
        <v>0</v>
      </c>
      <c r="I72" s="13">
        <v>0</v>
      </c>
      <c r="J72" s="8" t="s">
        <v>39</v>
      </c>
      <c r="K72" s="8" t="s">
        <v>40</v>
      </c>
      <c r="L72" s="8"/>
    </row>
    <row r="73" spans="1:12" ht="11.25">
      <c r="A73" s="10" t="s">
        <v>230</v>
      </c>
      <c r="B73" s="7" t="s">
        <v>231</v>
      </c>
      <c r="C73" s="7" t="s">
        <v>232</v>
      </c>
      <c r="D73" s="7" t="s">
        <v>37</v>
      </c>
      <c r="E73" s="7" t="s">
        <v>24</v>
      </c>
      <c r="F73" s="2">
        <f>DATE(2025,3,12)+TIME(13,22,6)</f>
        <v>45728.55701388889</v>
      </c>
      <c r="G73" s="7" t="s">
        <v>38</v>
      </c>
      <c r="H73" s="11">
        <v>0</v>
      </c>
      <c r="I73" s="11">
        <v>0</v>
      </c>
      <c r="J73" s="7" t="s">
        <v>39</v>
      </c>
      <c r="K73" s="7" t="s">
        <v>40</v>
      </c>
      <c r="L73" s="7"/>
    </row>
    <row r="74" spans="1:12" ht="11.25">
      <c r="A74" s="12" t="s">
        <v>233</v>
      </c>
      <c r="B74" s="8" t="s">
        <v>234</v>
      </c>
      <c r="C74" s="8" t="s">
        <v>235</v>
      </c>
      <c r="D74" s="8" t="s">
        <v>37</v>
      </c>
      <c r="E74" s="8" t="s">
        <v>23</v>
      </c>
      <c r="F74" s="4">
        <f>DATE(2025,3,26)+TIME(9,24,8)</f>
        <v>45742.39175925926</v>
      </c>
      <c r="G74" s="8" t="s">
        <v>236</v>
      </c>
      <c r="H74" s="13">
        <v>100</v>
      </c>
      <c r="I74" s="13">
        <v>100</v>
      </c>
      <c r="J74" s="8" t="s">
        <v>39</v>
      </c>
      <c r="K74" s="8" t="s">
        <v>48</v>
      </c>
      <c r="L74" s="8"/>
    </row>
    <row r="75" spans="1:12" ht="11.25">
      <c r="A75" s="10" t="s">
        <v>237</v>
      </c>
      <c r="B75" s="7" t="s">
        <v>238</v>
      </c>
      <c r="C75" s="7" t="s">
        <v>239</v>
      </c>
      <c r="D75" s="7" t="s">
        <v>37</v>
      </c>
      <c r="E75" s="7" t="s">
        <v>26</v>
      </c>
      <c r="F75" s="2">
        <f>DATE(2024,11,19)+TIME(16,17,38)</f>
        <v>45615.67891203704</v>
      </c>
      <c r="G75" s="7" t="s">
        <v>38</v>
      </c>
      <c r="H75" s="11">
        <v>0</v>
      </c>
      <c r="I75" s="11">
        <v>0</v>
      </c>
      <c r="J75" s="7" t="s">
        <v>39</v>
      </c>
      <c r="K75" s="7" t="s">
        <v>40</v>
      </c>
      <c r="L75" s="7" t="s">
        <v>38</v>
      </c>
    </row>
    <row r="76" spans="1:12" ht="11.25">
      <c r="A76" s="12" t="s">
        <v>240</v>
      </c>
      <c r="B76" s="8" t="s">
        <v>241</v>
      </c>
      <c r="C76" s="8" t="s">
        <v>54</v>
      </c>
      <c r="D76" s="8" t="s">
        <v>37</v>
      </c>
      <c r="E76" s="8" t="s">
        <v>28</v>
      </c>
      <c r="F76" s="4">
        <f>DATE(2025,4,9)+TIME(14,38,35)</f>
        <v>45756.610127314816</v>
      </c>
      <c r="G76" s="8" t="s">
        <v>38</v>
      </c>
      <c r="H76" s="13">
        <v>0</v>
      </c>
      <c r="I76" s="13">
        <v>250</v>
      </c>
      <c r="J76" s="8" t="s">
        <v>39</v>
      </c>
      <c r="K76" s="8" t="s">
        <v>40</v>
      </c>
      <c r="L76" s="8"/>
    </row>
    <row r="77" spans="1:12" ht="11.25">
      <c r="A77" s="10" t="s">
        <v>242</v>
      </c>
      <c r="B77" s="7" t="s">
        <v>243</v>
      </c>
      <c r="C77" s="7" t="s">
        <v>54</v>
      </c>
      <c r="D77" s="7" t="s">
        <v>37</v>
      </c>
      <c r="E77" s="7" t="s">
        <v>28</v>
      </c>
      <c r="F77" s="2">
        <f>DATE(2025,4,11)+TIME(17,46,45)</f>
        <v>45758.740798611114</v>
      </c>
      <c r="G77" s="7" t="s">
        <v>38</v>
      </c>
      <c r="H77" s="11">
        <v>0</v>
      </c>
      <c r="I77" s="11">
        <v>250</v>
      </c>
      <c r="J77" s="7" t="s">
        <v>39</v>
      </c>
      <c r="K77" s="7" t="s">
        <v>40</v>
      </c>
      <c r="L77" s="7"/>
    </row>
    <row r="78" spans="1:12" ht="11.25">
      <c r="A78" s="12" t="s">
        <v>244</v>
      </c>
      <c r="B78" s="8" t="s">
        <v>245</v>
      </c>
      <c r="C78" s="8" t="s">
        <v>246</v>
      </c>
      <c r="D78" s="8" t="s">
        <v>37</v>
      </c>
      <c r="E78" s="8" t="s">
        <v>23</v>
      </c>
      <c r="F78" s="4">
        <f>DATE(2025,4,7)+TIME(16,50,30)</f>
        <v>45754.701736111114</v>
      </c>
      <c r="G78" s="8" t="s">
        <v>38</v>
      </c>
      <c r="H78" s="13">
        <v>650</v>
      </c>
      <c r="I78" s="13">
        <v>650</v>
      </c>
      <c r="J78" s="8" t="s">
        <v>39</v>
      </c>
      <c r="K78" s="8" t="s">
        <v>40</v>
      </c>
      <c r="L78" s="8"/>
    </row>
    <row r="79" spans="1:12" ht="11.25">
      <c r="A79" s="10" t="s">
        <v>247</v>
      </c>
      <c r="B79" s="7" t="s">
        <v>248</v>
      </c>
      <c r="C79" s="7" t="s">
        <v>249</v>
      </c>
      <c r="D79" s="7" t="s">
        <v>37</v>
      </c>
      <c r="E79" s="7" t="s">
        <v>23</v>
      </c>
      <c r="F79" s="2">
        <f>DATE(2025,4,3)+TIME(15,6,7)</f>
        <v>45750.62924768519</v>
      </c>
      <c r="G79" s="7" t="s">
        <v>38</v>
      </c>
      <c r="H79" s="11">
        <v>650</v>
      </c>
      <c r="I79" s="11">
        <v>650</v>
      </c>
      <c r="J79" s="7" t="s">
        <v>39</v>
      </c>
      <c r="K79" s="7" t="s">
        <v>40</v>
      </c>
      <c r="L79" s="7"/>
    </row>
    <row r="80" spans="1:12" ht="11.25">
      <c r="A80" s="12" t="s">
        <v>250</v>
      </c>
      <c r="B80" s="8" t="s">
        <v>251</v>
      </c>
      <c r="C80" s="8" t="s">
        <v>252</v>
      </c>
      <c r="D80" s="8" t="s">
        <v>37</v>
      </c>
      <c r="E80" s="8" t="s">
        <v>23</v>
      </c>
      <c r="F80" s="4">
        <f>DATE(2025,3,6)+TIME(13,35,26)</f>
        <v>45722.56627314815</v>
      </c>
      <c r="G80" s="8" t="s">
        <v>38</v>
      </c>
      <c r="H80" s="13">
        <v>570</v>
      </c>
      <c r="I80" s="13">
        <v>570</v>
      </c>
      <c r="J80" s="8" t="s">
        <v>39</v>
      </c>
      <c r="K80" s="8" t="s">
        <v>40</v>
      </c>
      <c r="L80" s="8"/>
    </row>
    <row r="81" spans="1:12" ht="11.25">
      <c r="A81" s="10" t="s">
        <v>253</v>
      </c>
      <c r="B81" s="7" t="s">
        <v>254</v>
      </c>
      <c r="C81" s="7" t="s">
        <v>255</v>
      </c>
      <c r="D81" s="7" t="s">
        <v>37</v>
      </c>
      <c r="E81" s="7" t="s">
        <v>23</v>
      </c>
      <c r="F81" s="2">
        <f>DATE(2025,2,19)+TIME(20,42,22)</f>
        <v>45707.86275462963</v>
      </c>
      <c r="G81" s="7" t="s">
        <v>38</v>
      </c>
      <c r="H81" s="11">
        <v>450</v>
      </c>
      <c r="I81" s="11">
        <v>450</v>
      </c>
      <c r="J81" s="7" t="s">
        <v>39</v>
      </c>
      <c r="K81" s="7" t="s">
        <v>40</v>
      </c>
      <c r="L81" s="7"/>
    </row>
    <row r="82" spans="1:12" ht="11.25">
      <c r="A82" s="12" t="s">
        <v>256</v>
      </c>
      <c r="B82" s="8" t="s">
        <v>257</v>
      </c>
      <c r="C82" s="8" t="s">
        <v>258</v>
      </c>
      <c r="D82" s="8" t="s">
        <v>37</v>
      </c>
      <c r="E82" s="8" t="s">
        <v>27</v>
      </c>
      <c r="F82" s="4">
        <f>DATE(2025,4,13)+TIME(16,40,6)</f>
        <v>45760.69451388889</v>
      </c>
      <c r="G82" s="8" t="s">
        <v>81</v>
      </c>
      <c r="H82" s="13">
        <v>0</v>
      </c>
      <c r="I82" s="13">
        <v>470</v>
      </c>
      <c r="J82" s="8" t="s">
        <v>39</v>
      </c>
      <c r="K82" s="8" t="s">
        <v>40</v>
      </c>
      <c r="L82" s="8"/>
    </row>
    <row r="83" spans="1:12" ht="11.25">
      <c r="A83" s="10" t="s">
        <v>259</v>
      </c>
      <c r="B83" s="7" t="s">
        <v>260</v>
      </c>
      <c r="C83" s="7" t="s">
        <v>148</v>
      </c>
      <c r="D83" s="7" t="s">
        <v>37</v>
      </c>
      <c r="E83" s="7" t="s">
        <v>28</v>
      </c>
      <c r="F83" s="2">
        <f>DATE(2025,3,19)+TIME(10,33,17)</f>
        <v>45735.439780092594</v>
      </c>
      <c r="G83" s="7" t="s">
        <v>38</v>
      </c>
      <c r="H83" s="11">
        <v>0</v>
      </c>
      <c r="I83" s="11">
        <v>710</v>
      </c>
      <c r="J83" s="7" t="s">
        <v>39</v>
      </c>
      <c r="K83" s="7" t="s">
        <v>40</v>
      </c>
      <c r="L83" s="7"/>
    </row>
    <row r="84" spans="1:12" ht="11.25">
      <c r="A84" s="12" t="s">
        <v>261</v>
      </c>
      <c r="B84" s="8" t="s">
        <v>262</v>
      </c>
      <c r="C84" s="8" t="s">
        <v>61</v>
      </c>
      <c r="D84" s="8" t="s">
        <v>37</v>
      </c>
      <c r="E84" s="8" t="s">
        <v>24</v>
      </c>
      <c r="F84" s="4">
        <f>DATE(2025,4,3)+TIME(6,53,2)</f>
        <v>45750.286828703705</v>
      </c>
      <c r="G84" s="8" t="s">
        <v>38</v>
      </c>
      <c r="H84" s="13">
        <v>0</v>
      </c>
      <c r="I84" s="13">
        <v>0</v>
      </c>
      <c r="J84" s="8" t="s">
        <v>39</v>
      </c>
      <c r="K84" s="8" t="s">
        <v>40</v>
      </c>
      <c r="L84" s="8"/>
    </row>
    <row r="85" spans="1:12" ht="11.25">
      <c r="A85" s="10" t="s">
        <v>263</v>
      </c>
      <c r="B85" s="7" t="s">
        <v>264</v>
      </c>
      <c r="C85" s="7" t="s">
        <v>265</v>
      </c>
      <c r="D85" s="7" t="s">
        <v>37</v>
      </c>
      <c r="E85" s="7" t="s">
        <v>27</v>
      </c>
      <c r="F85" s="2">
        <f>DATE(2025,4,11)+TIME(16,56,0)</f>
        <v>45758.705555555556</v>
      </c>
      <c r="G85" s="7" t="s">
        <v>38</v>
      </c>
      <c r="H85" s="11">
        <v>350</v>
      </c>
      <c r="I85" s="11">
        <v>350</v>
      </c>
      <c r="J85" s="7" t="s">
        <v>39</v>
      </c>
      <c r="K85" s="7" t="s">
        <v>40</v>
      </c>
      <c r="L85" s="7"/>
    </row>
    <row r="86" spans="1:12" ht="11.25">
      <c r="A86" s="12" t="s">
        <v>266</v>
      </c>
      <c r="B86" s="8" t="s">
        <v>267</v>
      </c>
      <c r="C86" s="8" t="s">
        <v>268</v>
      </c>
      <c r="D86" s="8" t="s">
        <v>37</v>
      </c>
      <c r="E86" s="8" t="s">
        <v>24</v>
      </c>
      <c r="F86" s="4">
        <f>DATE(2025,1,30)+TIME(14,57,43)</f>
        <v>45687.62341435185</v>
      </c>
      <c r="G86" s="8" t="s">
        <v>38</v>
      </c>
      <c r="H86" s="13">
        <v>0</v>
      </c>
      <c r="I86" s="13">
        <v>0</v>
      </c>
      <c r="J86" s="8" t="s">
        <v>39</v>
      </c>
      <c r="K86" s="8" t="s">
        <v>40</v>
      </c>
      <c r="L86" s="8"/>
    </row>
    <row r="87" spans="1:12" ht="11.25">
      <c r="A87" s="10" t="s">
        <v>269</v>
      </c>
      <c r="B87" s="7" t="s">
        <v>270</v>
      </c>
      <c r="C87" s="7" t="s">
        <v>271</v>
      </c>
      <c r="D87" s="7" t="s">
        <v>37</v>
      </c>
      <c r="E87" s="7" t="s">
        <v>23</v>
      </c>
      <c r="F87" s="2">
        <f>DATE(2025,4,4)+TIME(14,18,17)</f>
        <v>45751.596030092594</v>
      </c>
      <c r="G87" s="7" t="s">
        <v>96</v>
      </c>
      <c r="H87" s="11">
        <v>0</v>
      </c>
      <c r="I87" s="11">
        <v>100</v>
      </c>
      <c r="J87" s="7" t="s">
        <v>39</v>
      </c>
      <c r="K87" s="7" t="s">
        <v>48</v>
      </c>
      <c r="L87" s="7"/>
    </row>
    <row r="88" spans="1:12" ht="11.25">
      <c r="A88" s="12" t="s">
        <v>272</v>
      </c>
      <c r="B88" s="8" t="s">
        <v>273</v>
      </c>
      <c r="C88" s="8" t="s">
        <v>274</v>
      </c>
      <c r="D88" s="8" t="s">
        <v>37</v>
      </c>
      <c r="E88" s="8" t="s">
        <v>23</v>
      </c>
      <c r="F88" s="4">
        <f>DATE(2025,1,22)+TIME(11,53,1)</f>
        <v>45679.495150462964</v>
      </c>
      <c r="G88" s="8" t="s">
        <v>38</v>
      </c>
      <c r="H88" s="13">
        <v>650</v>
      </c>
      <c r="I88" s="13">
        <v>650</v>
      </c>
      <c r="J88" s="8" t="s">
        <v>39</v>
      </c>
      <c r="K88" s="8" t="s">
        <v>40</v>
      </c>
      <c r="L88" s="8"/>
    </row>
    <row r="89" spans="1:12" ht="11.25">
      <c r="A89" s="10" t="s">
        <v>275</v>
      </c>
      <c r="B89" s="7" t="s">
        <v>276</v>
      </c>
      <c r="C89" s="7" t="s">
        <v>277</v>
      </c>
      <c r="D89" s="7" t="s">
        <v>37</v>
      </c>
      <c r="E89" s="7" t="s">
        <v>25</v>
      </c>
      <c r="F89" s="2">
        <f>DATE(2025,4,11)+TIME(14,53,36)</f>
        <v>45758.62055555556</v>
      </c>
      <c r="G89" s="7" t="s">
        <v>81</v>
      </c>
      <c r="H89" s="11">
        <v>150</v>
      </c>
      <c r="I89" s="11">
        <v>150</v>
      </c>
      <c r="J89" s="7" t="s">
        <v>39</v>
      </c>
      <c r="K89" s="7" t="s">
        <v>40</v>
      </c>
      <c r="L89" s="7"/>
    </row>
    <row r="90" spans="1:12" ht="11.25">
      <c r="A90" s="12" t="s">
        <v>278</v>
      </c>
      <c r="B90" s="8" t="s">
        <v>279</v>
      </c>
      <c r="C90" s="8" t="s">
        <v>280</v>
      </c>
      <c r="D90" s="8" t="s">
        <v>37</v>
      </c>
      <c r="E90" s="8" t="s">
        <v>29</v>
      </c>
      <c r="F90" s="4">
        <f>DATE(2025,3,3)+TIME(20,0,4)</f>
        <v>45719.83337962963</v>
      </c>
      <c r="G90" s="8" t="s">
        <v>38</v>
      </c>
      <c r="H90" s="13">
        <v>0</v>
      </c>
      <c r="I90" s="13">
        <v>0</v>
      </c>
      <c r="J90" s="8" t="s">
        <v>39</v>
      </c>
      <c r="K90" s="8" t="s">
        <v>40</v>
      </c>
      <c r="L90" s="8" t="s">
        <v>38</v>
      </c>
    </row>
    <row r="91" spans="1:12" ht="11.25">
      <c r="A91" s="10" t="s">
        <v>281</v>
      </c>
      <c r="B91" s="7" t="s">
        <v>282</v>
      </c>
      <c r="C91" s="7" t="s">
        <v>123</v>
      </c>
      <c r="D91" s="7" t="s">
        <v>37</v>
      </c>
      <c r="E91" s="7" t="s">
        <v>26</v>
      </c>
      <c r="F91" s="2">
        <f>DATE(2024,11,21)+TIME(16,0,19)</f>
        <v>45617.66688657407</v>
      </c>
      <c r="G91" s="7" t="s">
        <v>38</v>
      </c>
      <c r="H91" s="11">
        <v>0</v>
      </c>
      <c r="I91" s="11">
        <v>0</v>
      </c>
      <c r="J91" s="7" t="s">
        <v>39</v>
      </c>
      <c r="K91" s="7" t="s">
        <v>40</v>
      </c>
      <c r="L91" s="7"/>
    </row>
    <row r="92" spans="1:12" ht="11.25">
      <c r="A92" s="12" t="s">
        <v>283</v>
      </c>
      <c r="B92" s="8" t="s">
        <v>284</v>
      </c>
      <c r="C92" s="8" t="s">
        <v>61</v>
      </c>
      <c r="D92" s="8" t="s">
        <v>37</v>
      </c>
      <c r="E92" s="8" t="s">
        <v>25</v>
      </c>
      <c r="F92" s="4">
        <f>DATE(2025,3,3)+TIME(17,36,15)</f>
        <v>45719.733506944445</v>
      </c>
      <c r="G92" s="8" t="s">
        <v>38</v>
      </c>
      <c r="H92" s="13">
        <v>150</v>
      </c>
      <c r="I92" s="13">
        <v>150</v>
      </c>
      <c r="J92" s="8" t="s">
        <v>39</v>
      </c>
      <c r="K92" s="8" t="s">
        <v>40</v>
      </c>
      <c r="L92" s="8"/>
    </row>
    <row r="93" spans="1:12" ht="11.25">
      <c r="A93" s="10" t="s">
        <v>285</v>
      </c>
      <c r="B93" s="7" t="s">
        <v>286</v>
      </c>
      <c r="C93" s="7" t="s">
        <v>287</v>
      </c>
      <c r="D93" s="7" t="s">
        <v>37</v>
      </c>
      <c r="E93" s="7" t="s">
        <v>28</v>
      </c>
      <c r="F93" s="2">
        <f>DATE(2025,4,2)+TIME(14,24,8)</f>
        <v>45749.60009259259</v>
      </c>
      <c r="G93" s="7" t="s">
        <v>38</v>
      </c>
      <c r="H93" s="11">
        <v>0</v>
      </c>
      <c r="I93" s="11">
        <v>350</v>
      </c>
      <c r="J93" s="7" t="s">
        <v>39</v>
      </c>
      <c r="K93" s="7" t="s">
        <v>40</v>
      </c>
      <c r="L93" s="7"/>
    </row>
    <row r="94" spans="1:12" ht="11.25">
      <c r="A94" s="12" t="s">
        <v>288</v>
      </c>
      <c r="B94" s="8" t="s">
        <v>289</v>
      </c>
      <c r="C94" s="8" t="s">
        <v>249</v>
      </c>
      <c r="D94" s="8" t="s">
        <v>37</v>
      </c>
      <c r="E94" s="8" t="s">
        <v>24</v>
      </c>
      <c r="F94" s="4">
        <f>DATE(2025,2,10)+TIME(15,20,25)</f>
        <v>45698.63917824074</v>
      </c>
      <c r="G94" s="8" t="s">
        <v>38</v>
      </c>
      <c r="H94" s="13">
        <v>100</v>
      </c>
      <c r="I94" s="13">
        <v>100</v>
      </c>
      <c r="J94" s="8" t="s">
        <v>39</v>
      </c>
      <c r="K94" s="8" t="s">
        <v>40</v>
      </c>
      <c r="L94" s="8"/>
    </row>
    <row r="95" spans="1:12" ht="11.25">
      <c r="A95" s="10" t="s">
        <v>290</v>
      </c>
      <c r="B95" s="7" t="s">
        <v>291</v>
      </c>
      <c r="C95" s="7" t="s">
        <v>292</v>
      </c>
      <c r="D95" s="7" t="s">
        <v>37</v>
      </c>
      <c r="E95" s="7" t="s">
        <v>27</v>
      </c>
      <c r="F95" s="2">
        <f>DATE(2025,4,12)+TIME(15,6,46)</f>
        <v>45759.629699074074</v>
      </c>
      <c r="G95" s="7" t="s">
        <v>81</v>
      </c>
      <c r="H95" s="11">
        <v>325</v>
      </c>
      <c r="I95" s="11">
        <v>675</v>
      </c>
      <c r="J95" s="7" t="s">
        <v>39</v>
      </c>
      <c r="K95" s="7" t="s">
        <v>40</v>
      </c>
      <c r="L95" s="7"/>
    </row>
    <row r="96" spans="1:12" ht="11.25">
      <c r="A96" s="12" t="s">
        <v>293</v>
      </c>
      <c r="B96" s="8" t="s">
        <v>294</v>
      </c>
      <c r="C96" s="8" t="s">
        <v>295</v>
      </c>
      <c r="D96" s="8" t="s">
        <v>37</v>
      </c>
      <c r="E96" s="8" t="s">
        <v>30</v>
      </c>
      <c r="F96" s="4">
        <f>DATE(2025,4,1)+TIME(18,45,32)</f>
        <v>45748.78162037037</v>
      </c>
      <c r="G96" s="8" t="s">
        <v>38</v>
      </c>
      <c r="H96" s="13">
        <v>0</v>
      </c>
      <c r="I96" s="13">
        <v>0</v>
      </c>
      <c r="J96" s="8" t="s">
        <v>39</v>
      </c>
      <c r="K96" s="8" t="s">
        <v>40</v>
      </c>
      <c r="L96" s="8"/>
    </row>
    <row r="97" spans="1:12" ht="11.25">
      <c r="A97" s="10" t="s">
        <v>296</v>
      </c>
      <c r="B97" s="7" t="s">
        <v>297</v>
      </c>
      <c r="C97" s="7" t="s">
        <v>298</v>
      </c>
      <c r="D97" s="7" t="s">
        <v>37</v>
      </c>
      <c r="E97" s="7" t="s">
        <v>23</v>
      </c>
      <c r="F97" s="2">
        <f>DATE(2024,12,30)+TIME(0,18,33)</f>
        <v>45656.01288194444</v>
      </c>
      <c r="G97" s="7" t="s">
        <v>299</v>
      </c>
      <c r="H97" s="11">
        <v>0</v>
      </c>
      <c r="I97" s="11">
        <v>450</v>
      </c>
      <c r="J97" s="7" t="s">
        <v>39</v>
      </c>
      <c r="K97" s="7" t="s">
        <v>40</v>
      </c>
      <c r="L97" s="7"/>
    </row>
    <row r="98" spans="1:12" ht="11.25">
      <c r="A98" s="12" t="s">
        <v>300</v>
      </c>
      <c r="B98" s="8" t="s">
        <v>301</v>
      </c>
      <c r="C98" s="8" t="s">
        <v>302</v>
      </c>
      <c r="D98" s="8" t="s">
        <v>37</v>
      </c>
      <c r="E98" s="8" t="s">
        <v>25</v>
      </c>
      <c r="F98" s="4">
        <f>DATE(2025,2,4)+TIME(14,59,32)</f>
        <v>45692.62467592592</v>
      </c>
      <c r="G98" s="8" t="s">
        <v>38</v>
      </c>
      <c r="H98" s="13">
        <v>150</v>
      </c>
      <c r="I98" s="13">
        <v>150</v>
      </c>
      <c r="J98" s="8" t="s">
        <v>39</v>
      </c>
      <c r="K98" s="8" t="s">
        <v>40</v>
      </c>
      <c r="L98" s="8"/>
    </row>
    <row r="99" spans="1:12" ht="11.25">
      <c r="A99" s="10" t="s">
        <v>303</v>
      </c>
      <c r="B99" s="7" t="s">
        <v>304</v>
      </c>
      <c r="C99" s="7" t="s">
        <v>305</v>
      </c>
      <c r="D99" s="7" t="s">
        <v>37</v>
      </c>
      <c r="E99" s="7" t="s">
        <v>24</v>
      </c>
      <c r="F99" s="2">
        <f>DATE(2025,2,5)+TIME(0,36,44)</f>
        <v>45693.025509259256</v>
      </c>
      <c r="G99" s="7" t="s">
        <v>306</v>
      </c>
      <c r="H99" s="11">
        <v>0</v>
      </c>
      <c r="I99" s="11">
        <v>0</v>
      </c>
      <c r="J99" s="7" t="s">
        <v>39</v>
      </c>
      <c r="K99" s="7" t="s">
        <v>40</v>
      </c>
      <c r="L99" s="7"/>
    </row>
    <row r="100" spans="1:12" ht="11.25">
      <c r="A100" s="12" t="s">
        <v>307</v>
      </c>
      <c r="B100" s="8" t="s">
        <v>308</v>
      </c>
      <c r="C100" s="8" t="s">
        <v>205</v>
      </c>
      <c r="D100" s="8" t="s">
        <v>37</v>
      </c>
      <c r="E100" s="8" t="s">
        <v>26</v>
      </c>
      <c r="F100" s="4">
        <f>DATE(2025,3,18)+TIME(10,55,3)</f>
        <v>45734.45489583333</v>
      </c>
      <c r="G100" s="8" t="s">
        <v>38</v>
      </c>
      <c r="H100" s="13">
        <v>0</v>
      </c>
      <c r="I100" s="13">
        <v>0</v>
      </c>
      <c r="J100" s="8" t="s">
        <v>39</v>
      </c>
      <c r="K100" s="8" t="s">
        <v>40</v>
      </c>
      <c r="L100" s="8"/>
    </row>
    <row r="101" spans="1:12" ht="11.25">
      <c r="A101" s="10" t="s">
        <v>309</v>
      </c>
      <c r="B101" s="7" t="s">
        <v>310</v>
      </c>
      <c r="C101" s="7" t="s">
        <v>205</v>
      </c>
      <c r="D101" s="7" t="s">
        <v>37</v>
      </c>
      <c r="E101" s="7" t="s">
        <v>26</v>
      </c>
      <c r="F101" s="2">
        <f>DATE(2025,3,18)+TIME(11,15,10)</f>
        <v>45734.46886574074</v>
      </c>
      <c r="G101" s="7" t="s">
        <v>38</v>
      </c>
      <c r="H101" s="11">
        <v>0</v>
      </c>
      <c r="I101" s="11">
        <v>100</v>
      </c>
      <c r="J101" s="7" t="s">
        <v>39</v>
      </c>
      <c r="K101" s="7" t="s">
        <v>48</v>
      </c>
      <c r="L101" s="7"/>
    </row>
    <row r="102" spans="1:12" ht="11.25">
      <c r="A102" s="12" t="s">
        <v>311</v>
      </c>
      <c r="B102" s="8" t="s">
        <v>312</v>
      </c>
      <c r="C102" s="8" t="s">
        <v>205</v>
      </c>
      <c r="D102" s="8" t="s">
        <v>37</v>
      </c>
      <c r="E102" s="8" t="s">
        <v>26</v>
      </c>
      <c r="F102" s="4">
        <f>DATE(2025,3,3)+TIME(16,12,53)</f>
        <v>45719.67561342593</v>
      </c>
      <c r="G102" s="8" t="s">
        <v>38</v>
      </c>
      <c r="H102" s="13">
        <v>0</v>
      </c>
      <c r="I102" s="13">
        <v>0</v>
      </c>
      <c r="J102" s="8" t="s">
        <v>39</v>
      </c>
      <c r="K102" s="8" t="s">
        <v>40</v>
      </c>
      <c r="L102" s="8"/>
    </row>
    <row r="103" spans="1:12" ht="11.25">
      <c r="A103" s="10" t="s">
        <v>313</v>
      </c>
      <c r="B103" s="7" t="s">
        <v>314</v>
      </c>
      <c r="C103" s="7" t="s">
        <v>315</v>
      </c>
      <c r="D103" s="7" t="s">
        <v>37</v>
      </c>
      <c r="E103" s="7" t="s">
        <v>23</v>
      </c>
      <c r="F103" s="2">
        <f>DATE(2025,4,4)+TIME(8,56,30)</f>
        <v>45751.372569444444</v>
      </c>
      <c r="G103" s="7" t="s">
        <v>38</v>
      </c>
      <c r="H103" s="11">
        <v>100</v>
      </c>
      <c r="I103" s="11">
        <v>100</v>
      </c>
      <c r="J103" s="7" t="s">
        <v>39</v>
      </c>
      <c r="K103" s="7" t="s">
        <v>48</v>
      </c>
      <c r="L103" s="7"/>
    </row>
    <row r="104" spans="1:12" ht="11.25">
      <c r="A104" s="12" t="s">
        <v>316</v>
      </c>
      <c r="B104" s="8" t="s">
        <v>317</v>
      </c>
      <c r="C104" s="8" t="s">
        <v>318</v>
      </c>
      <c r="D104" s="8" t="s">
        <v>37</v>
      </c>
      <c r="E104" s="8" t="s">
        <v>23</v>
      </c>
      <c r="F104" s="4">
        <f>DATE(2025,3,21)+TIME(10,24,7)</f>
        <v>45737.43341435185</v>
      </c>
      <c r="G104" s="8" t="s">
        <v>38</v>
      </c>
      <c r="H104" s="13">
        <v>550</v>
      </c>
      <c r="I104" s="13">
        <v>550</v>
      </c>
      <c r="J104" s="8" t="s">
        <v>39</v>
      </c>
      <c r="K104" s="8" t="s">
        <v>40</v>
      </c>
      <c r="L104" s="8"/>
    </row>
    <row r="105" spans="1:12" ht="11.25">
      <c r="A105" s="10" t="s">
        <v>319</v>
      </c>
      <c r="B105" s="7" t="s">
        <v>320</v>
      </c>
      <c r="C105" s="7" t="s">
        <v>123</v>
      </c>
      <c r="D105" s="7" t="s">
        <v>37</v>
      </c>
      <c r="E105" s="7" t="s">
        <v>25</v>
      </c>
      <c r="F105" s="2">
        <f>DATE(2025,3,20)+TIME(14,29,45)</f>
        <v>45736.603993055556</v>
      </c>
      <c r="G105" s="7" t="s">
        <v>38</v>
      </c>
      <c r="H105" s="11">
        <v>0</v>
      </c>
      <c r="I105" s="11">
        <v>150</v>
      </c>
      <c r="J105" s="7" t="s">
        <v>39</v>
      </c>
      <c r="K105" s="7" t="s">
        <v>40</v>
      </c>
      <c r="L105" s="7"/>
    </row>
    <row r="106" spans="1:12" ht="11.25">
      <c r="A106" s="12" t="s">
        <v>321</v>
      </c>
      <c r="B106" s="8" t="s">
        <v>322</v>
      </c>
      <c r="C106" s="8" t="s">
        <v>323</v>
      </c>
      <c r="D106" s="8" t="s">
        <v>37</v>
      </c>
      <c r="E106" s="8" t="s">
        <v>23</v>
      </c>
      <c r="F106" s="4">
        <f>DATE(2025,3,10)+TIME(12,59,41)</f>
        <v>45726.541446759256</v>
      </c>
      <c r="G106" s="8" t="s">
        <v>38</v>
      </c>
      <c r="H106" s="13">
        <v>550</v>
      </c>
      <c r="I106" s="13">
        <v>550</v>
      </c>
      <c r="J106" s="8" t="s">
        <v>39</v>
      </c>
      <c r="K106" s="8" t="s">
        <v>40</v>
      </c>
      <c r="L106" s="8"/>
    </row>
    <row r="107" spans="1:12" ht="11.25">
      <c r="A107" s="10" t="s">
        <v>324</v>
      </c>
      <c r="B107" s="7" t="s">
        <v>325</v>
      </c>
      <c r="C107" s="7" t="s">
        <v>326</v>
      </c>
      <c r="D107" s="7" t="s">
        <v>37</v>
      </c>
      <c r="E107" s="7" t="s">
        <v>27</v>
      </c>
      <c r="F107" s="2">
        <f>DATE(2025,4,13)+TIME(17,5,16)</f>
        <v>45760.71199074074</v>
      </c>
      <c r="G107" s="7" t="s">
        <v>81</v>
      </c>
      <c r="H107" s="11">
        <v>0</v>
      </c>
      <c r="I107" s="11">
        <v>470</v>
      </c>
      <c r="J107" s="7" t="s">
        <v>39</v>
      </c>
      <c r="K107" s="7" t="s">
        <v>40</v>
      </c>
      <c r="L107" s="7"/>
    </row>
    <row r="108" spans="1:12" ht="11.25">
      <c r="A108" s="12" t="s">
        <v>327</v>
      </c>
      <c r="B108" s="8" t="s">
        <v>328</v>
      </c>
      <c r="C108" s="8" t="s">
        <v>329</v>
      </c>
      <c r="D108" s="8" t="s">
        <v>37</v>
      </c>
      <c r="E108" s="8" t="s">
        <v>28</v>
      </c>
      <c r="F108" s="4">
        <f>DATE(2025,3,21)+TIME(9,48,52)</f>
        <v>45737.40893518519</v>
      </c>
      <c r="G108" s="8" t="s">
        <v>38</v>
      </c>
      <c r="H108" s="13">
        <v>270</v>
      </c>
      <c r="I108" s="13">
        <v>270</v>
      </c>
      <c r="J108" s="8" t="s">
        <v>39</v>
      </c>
      <c r="K108" s="8" t="s">
        <v>40</v>
      </c>
      <c r="L108" s="8"/>
    </row>
    <row r="109" spans="1:12" ht="11.25">
      <c r="A109" s="10" t="s">
        <v>330</v>
      </c>
      <c r="B109" s="7" t="s">
        <v>331</v>
      </c>
      <c r="C109" s="7" t="s">
        <v>332</v>
      </c>
      <c r="D109" s="7" t="s">
        <v>37</v>
      </c>
      <c r="E109" s="7" t="s">
        <v>23</v>
      </c>
      <c r="F109" s="2">
        <f>DATE(2025,3,21)+TIME(12,33,21)</f>
        <v>45737.52315972222</v>
      </c>
      <c r="G109" s="7" t="s">
        <v>81</v>
      </c>
      <c r="H109" s="11">
        <v>650</v>
      </c>
      <c r="I109" s="11">
        <v>650</v>
      </c>
      <c r="J109" s="7" t="s">
        <v>39</v>
      </c>
      <c r="K109" s="7" t="s">
        <v>40</v>
      </c>
      <c r="L109" s="7"/>
    </row>
    <row r="110" spans="1:12" ht="11.25">
      <c r="A110" s="12" t="s">
        <v>333</v>
      </c>
      <c r="B110" s="8" t="s">
        <v>334</v>
      </c>
      <c r="C110" s="8" t="s">
        <v>335</v>
      </c>
      <c r="D110" s="8" t="s">
        <v>37</v>
      </c>
      <c r="E110" s="8" t="s">
        <v>23</v>
      </c>
      <c r="F110" s="4">
        <f>DATE(2025,2,24)+TIME(15,10,20)</f>
        <v>45712.63217592592</v>
      </c>
      <c r="G110" s="8" t="s">
        <v>38</v>
      </c>
      <c r="H110" s="13">
        <v>450</v>
      </c>
      <c r="I110" s="13">
        <v>450</v>
      </c>
      <c r="J110" s="8" t="s">
        <v>39</v>
      </c>
      <c r="K110" s="8" t="s">
        <v>40</v>
      </c>
      <c r="L110" s="8"/>
    </row>
    <row r="111" spans="1:12" ht="11.25">
      <c r="A111" s="10" t="s">
        <v>336</v>
      </c>
      <c r="B111" s="7" t="s">
        <v>337</v>
      </c>
      <c r="C111" s="7" t="s">
        <v>123</v>
      </c>
      <c r="D111" s="7" t="s">
        <v>37</v>
      </c>
      <c r="E111" s="7" t="s">
        <v>25</v>
      </c>
      <c r="F111" s="2">
        <f>DATE(2025,2,13)+TIME(14,12,41)</f>
        <v>45701.592141203706</v>
      </c>
      <c r="G111" s="7" t="s">
        <v>38</v>
      </c>
      <c r="H111" s="11">
        <v>0</v>
      </c>
      <c r="I111" s="11">
        <v>150</v>
      </c>
      <c r="J111" s="7" t="s">
        <v>39</v>
      </c>
      <c r="K111" s="7" t="s">
        <v>40</v>
      </c>
      <c r="L111" s="7"/>
    </row>
    <row r="112" spans="1:12" ht="11.25">
      <c r="A112" s="12" t="s">
        <v>338</v>
      </c>
      <c r="B112" s="8" t="s">
        <v>339</v>
      </c>
      <c r="C112" s="8" t="s">
        <v>340</v>
      </c>
      <c r="D112" s="8" t="s">
        <v>37</v>
      </c>
      <c r="E112" s="8" t="s">
        <v>29</v>
      </c>
      <c r="F112" s="4">
        <f>DATE(2025,4,1)+TIME(4,30,38)</f>
        <v>45748.187939814816</v>
      </c>
      <c r="G112" s="8"/>
      <c r="H112" s="13">
        <v>0</v>
      </c>
      <c r="I112" s="13">
        <v>0</v>
      </c>
      <c r="J112" s="8" t="s">
        <v>39</v>
      </c>
      <c r="K112" s="8" t="s">
        <v>40</v>
      </c>
      <c r="L112" s="8" t="s">
        <v>306</v>
      </c>
    </row>
    <row r="113" spans="1:12" ht="11.25">
      <c r="A113" s="10" t="s">
        <v>341</v>
      </c>
      <c r="B113" s="7" t="s">
        <v>342</v>
      </c>
      <c r="C113" s="7" t="s">
        <v>343</v>
      </c>
      <c r="D113" s="7" t="s">
        <v>37</v>
      </c>
      <c r="E113" s="7" t="s">
        <v>31</v>
      </c>
      <c r="F113" s="2">
        <f>DATE(2025,4,14)+TIME(10,9,24)</f>
        <v>45761.42319444445</v>
      </c>
      <c r="G113" s="7" t="s">
        <v>38</v>
      </c>
      <c r="H113" s="11">
        <v>0</v>
      </c>
      <c r="I113" s="11">
        <v>0</v>
      </c>
      <c r="J113" s="7" t="s">
        <v>39</v>
      </c>
      <c r="K113" s="7" t="s">
        <v>48</v>
      </c>
      <c r="L113" s="7"/>
    </row>
    <row r="114" spans="1:12" ht="11.25">
      <c r="A114" s="12" t="s">
        <v>344</v>
      </c>
      <c r="B114" s="8" t="s">
        <v>345</v>
      </c>
      <c r="C114" s="8" t="s">
        <v>249</v>
      </c>
      <c r="D114" s="8" t="s">
        <v>37</v>
      </c>
      <c r="E114" s="8" t="s">
        <v>23</v>
      </c>
      <c r="F114" s="4">
        <f>DATE(2025,4,11)+TIME(19,47,23)</f>
        <v>45758.82457175926</v>
      </c>
      <c r="G114" s="8" t="s">
        <v>38</v>
      </c>
      <c r="H114" s="13">
        <v>550</v>
      </c>
      <c r="I114" s="13">
        <v>550</v>
      </c>
      <c r="J114" s="8" t="s">
        <v>39</v>
      </c>
      <c r="K114" s="8" t="s">
        <v>40</v>
      </c>
      <c r="L114" s="8"/>
    </row>
    <row r="115" spans="1:12" ht="11.25">
      <c r="A115" s="10" t="s">
        <v>346</v>
      </c>
      <c r="B115" s="7" t="s">
        <v>347</v>
      </c>
      <c r="C115" s="7" t="s">
        <v>348</v>
      </c>
      <c r="D115" s="7" t="s">
        <v>37</v>
      </c>
      <c r="E115" s="7" t="s">
        <v>29</v>
      </c>
      <c r="F115" s="2">
        <f>DATE(2025,2,11)+TIME(14,26,23)</f>
        <v>45699.60165509259</v>
      </c>
      <c r="G115" s="7" t="s">
        <v>38</v>
      </c>
      <c r="H115" s="11">
        <v>0</v>
      </c>
      <c r="I115" s="11">
        <v>0</v>
      </c>
      <c r="J115" s="7" t="s">
        <v>39</v>
      </c>
      <c r="K115" s="7" t="s">
        <v>40</v>
      </c>
      <c r="L115" s="7" t="s">
        <v>38</v>
      </c>
    </row>
    <row r="116" spans="1:12" ht="11.25">
      <c r="A116" s="12" t="s">
        <v>349</v>
      </c>
      <c r="B116" s="8" t="s">
        <v>350</v>
      </c>
      <c r="C116" s="8" t="s">
        <v>351</v>
      </c>
      <c r="D116" s="8" t="s">
        <v>37</v>
      </c>
      <c r="E116" s="8" t="s">
        <v>28</v>
      </c>
      <c r="F116" s="4">
        <f>DATE(2025,4,10)+TIME(14,33,52)</f>
        <v>45757.60685185185</v>
      </c>
      <c r="G116" s="8" t="s">
        <v>38</v>
      </c>
      <c r="H116" s="13">
        <v>0</v>
      </c>
      <c r="I116" s="13">
        <v>250</v>
      </c>
      <c r="J116" s="8" t="s">
        <v>39</v>
      </c>
      <c r="K116" s="8" t="s">
        <v>40</v>
      </c>
      <c r="L116" s="8" t="s">
        <v>38</v>
      </c>
    </row>
    <row r="117" spans="1:12" ht="11.25">
      <c r="A117" s="10" t="s">
        <v>352</v>
      </c>
      <c r="B117" s="7" t="s">
        <v>353</v>
      </c>
      <c r="C117" s="7" t="s">
        <v>354</v>
      </c>
      <c r="D117" s="7" t="s">
        <v>37</v>
      </c>
      <c r="E117" s="7" t="s">
        <v>24</v>
      </c>
      <c r="F117" s="2">
        <f>DATE(2025,4,5)+TIME(15,59,19)</f>
        <v>45752.66619212963</v>
      </c>
      <c r="G117" s="7" t="s">
        <v>38</v>
      </c>
      <c r="H117" s="11">
        <v>0</v>
      </c>
      <c r="I117" s="11">
        <v>0</v>
      </c>
      <c r="J117" s="7" t="s">
        <v>39</v>
      </c>
      <c r="K117" s="7" t="s">
        <v>40</v>
      </c>
      <c r="L117" s="7"/>
    </row>
    <row r="118" spans="1:12" ht="11.25">
      <c r="A118" s="12" t="s">
        <v>355</v>
      </c>
      <c r="B118" s="8" t="s">
        <v>356</v>
      </c>
      <c r="C118" s="8" t="s">
        <v>54</v>
      </c>
      <c r="D118" s="8" t="s">
        <v>37</v>
      </c>
      <c r="E118" s="8" t="s">
        <v>24</v>
      </c>
      <c r="F118" s="4">
        <f>DATE(2025,2,19)+TIME(18,13,21)</f>
        <v>45707.75927083333</v>
      </c>
      <c r="G118" s="8" t="s">
        <v>38</v>
      </c>
      <c r="H118" s="13">
        <v>0</v>
      </c>
      <c r="I118" s="13">
        <v>0</v>
      </c>
      <c r="J118" s="8" t="s">
        <v>39</v>
      </c>
      <c r="K118" s="8" t="s">
        <v>40</v>
      </c>
      <c r="L118" s="8"/>
    </row>
    <row r="119" spans="1:12" ht="11.25">
      <c r="A119" s="10" t="s">
        <v>357</v>
      </c>
      <c r="B119" s="7" t="s">
        <v>358</v>
      </c>
      <c r="C119" s="7" t="s">
        <v>64</v>
      </c>
      <c r="D119" s="7" t="s">
        <v>37</v>
      </c>
      <c r="E119" s="7" t="s">
        <v>23</v>
      </c>
      <c r="F119" s="2">
        <f>DATE(2025,2,21)+TIME(16,29,37)</f>
        <v>45709.6872337963</v>
      </c>
      <c r="G119" s="7" t="s">
        <v>38</v>
      </c>
      <c r="H119" s="11">
        <v>450</v>
      </c>
      <c r="I119" s="11">
        <v>450</v>
      </c>
      <c r="J119" s="7" t="s">
        <v>39</v>
      </c>
      <c r="K119" s="7" t="s">
        <v>40</v>
      </c>
      <c r="L119" s="7"/>
    </row>
    <row r="120" spans="1:12" ht="11.25">
      <c r="A120" s="12" t="s">
        <v>359</v>
      </c>
      <c r="B120" s="8" t="s">
        <v>360</v>
      </c>
      <c r="C120" s="8" t="s">
        <v>67</v>
      </c>
      <c r="D120" s="8" t="s">
        <v>37</v>
      </c>
      <c r="E120" s="8" t="s">
        <v>28</v>
      </c>
      <c r="F120" s="4">
        <f>DATE(2025,4,10)+TIME(11,39,49)</f>
        <v>45757.485983796294</v>
      </c>
      <c r="G120" s="8" t="s">
        <v>38</v>
      </c>
      <c r="H120" s="13">
        <v>0</v>
      </c>
      <c r="I120" s="13">
        <v>250</v>
      </c>
      <c r="J120" s="8" t="s">
        <v>39</v>
      </c>
      <c r="K120" s="8" t="s">
        <v>40</v>
      </c>
      <c r="L120" s="8"/>
    </row>
    <row r="121" spans="1:12" ht="11.25">
      <c r="A121" s="10" t="s">
        <v>361</v>
      </c>
      <c r="B121" s="7" t="s">
        <v>362</v>
      </c>
      <c r="C121" s="7" t="s">
        <v>363</v>
      </c>
      <c r="D121" s="7" t="s">
        <v>37</v>
      </c>
      <c r="E121" s="7" t="s">
        <v>24</v>
      </c>
      <c r="F121" s="2">
        <f>DATE(2025,2,24)+TIME(10,42,31)</f>
        <v>45712.44619212963</v>
      </c>
      <c r="G121" s="7" t="s">
        <v>38</v>
      </c>
      <c r="H121" s="11">
        <v>0</v>
      </c>
      <c r="I121" s="11">
        <v>0</v>
      </c>
      <c r="J121" s="7" t="s">
        <v>39</v>
      </c>
      <c r="K121" s="7" t="s">
        <v>40</v>
      </c>
      <c r="L121" s="7"/>
    </row>
    <row r="122" spans="1:12" ht="11.25">
      <c r="A122" s="12" t="s">
        <v>364</v>
      </c>
      <c r="B122" s="8" t="s">
        <v>365</v>
      </c>
      <c r="C122" s="8" t="s">
        <v>148</v>
      </c>
      <c r="D122" s="8" t="s">
        <v>37</v>
      </c>
      <c r="E122" s="8" t="s">
        <v>25</v>
      </c>
      <c r="F122" s="4">
        <f>DATE(2025,3,3)+TIME(15,7,57)</f>
        <v>45719.630520833336</v>
      </c>
      <c r="G122" s="8" t="s">
        <v>38</v>
      </c>
      <c r="H122" s="13">
        <v>0</v>
      </c>
      <c r="I122" s="13">
        <v>150</v>
      </c>
      <c r="J122" s="8" t="s">
        <v>39</v>
      </c>
      <c r="K122" s="8" t="s">
        <v>40</v>
      </c>
      <c r="L122" s="8"/>
    </row>
    <row r="123" spans="1:12" ht="11.25">
      <c r="A123" s="10" t="s">
        <v>366</v>
      </c>
      <c r="B123" s="7" t="s">
        <v>367</v>
      </c>
      <c r="C123" s="7" t="s">
        <v>84</v>
      </c>
      <c r="D123" s="7" t="s">
        <v>37</v>
      </c>
      <c r="E123" s="7" t="s">
        <v>27</v>
      </c>
      <c r="F123" s="2">
        <f>DATE(2025,4,13)+TIME(16,30,31)</f>
        <v>45760.68785879629</v>
      </c>
      <c r="G123" s="7" t="s">
        <v>81</v>
      </c>
      <c r="H123" s="11">
        <v>0</v>
      </c>
      <c r="I123" s="11">
        <v>470</v>
      </c>
      <c r="J123" s="7" t="s">
        <v>39</v>
      </c>
      <c r="K123" s="7" t="s">
        <v>40</v>
      </c>
      <c r="L123" s="7"/>
    </row>
    <row r="124" spans="1:12" ht="11.25">
      <c r="A124" s="12" t="s">
        <v>368</v>
      </c>
      <c r="B124" s="8" t="s">
        <v>369</v>
      </c>
      <c r="C124" s="8" t="s">
        <v>54</v>
      </c>
      <c r="D124" s="8" t="s">
        <v>37</v>
      </c>
      <c r="E124" s="8" t="s">
        <v>26</v>
      </c>
      <c r="F124" s="4">
        <f>DATE(2025,4,3)+TIME(9,32,14)</f>
        <v>45750.39738425926</v>
      </c>
      <c r="G124" s="8" t="s">
        <v>38</v>
      </c>
      <c r="H124" s="13">
        <v>0</v>
      </c>
      <c r="I124" s="13">
        <v>0</v>
      </c>
      <c r="J124" s="8" t="s">
        <v>39</v>
      </c>
      <c r="K124" s="8" t="s">
        <v>40</v>
      </c>
      <c r="L124" s="8"/>
    </row>
    <row r="125" spans="1:12" ht="11.25">
      <c r="A125" s="10" t="s">
        <v>370</v>
      </c>
      <c r="B125" s="7" t="s">
        <v>371</v>
      </c>
      <c r="C125" s="7" t="s">
        <v>54</v>
      </c>
      <c r="D125" s="7" t="s">
        <v>37</v>
      </c>
      <c r="E125" s="7" t="s">
        <v>24</v>
      </c>
      <c r="F125" s="2">
        <f>DATE(2025,3,26)+TIME(19,32,13)</f>
        <v>45742.814039351855</v>
      </c>
      <c r="G125" s="7" t="s">
        <v>38</v>
      </c>
      <c r="H125" s="11">
        <v>0</v>
      </c>
      <c r="I125" s="11">
        <v>0</v>
      </c>
      <c r="J125" s="7" t="s">
        <v>39</v>
      </c>
      <c r="K125" s="7" t="s">
        <v>40</v>
      </c>
      <c r="L125" s="7"/>
    </row>
    <row r="126" spans="1:12" ht="11.25">
      <c r="A126" s="12" t="s">
        <v>372</v>
      </c>
      <c r="B126" s="8" t="s">
        <v>373</v>
      </c>
      <c r="C126" s="8" t="s">
        <v>302</v>
      </c>
      <c r="D126" s="8" t="s">
        <v>37</v>
      </c>
      <c r="E126" s="8" t="s">
        <v>26</v>
      </c>
      <c r="F126" s="4">
        <f>DATE(2024,11,22)+TIME(15,11,49)</f>
        <v>45618.633206018516</v>
      </c>
      <c r="G126" s="8" t="s">
        <v>38</v>
      </c>
      <c r="H126" s="13">
        <v>0</v>
      </c>
      <c r="I126" s="13">
        <v>0</v>
      </c>
      <c r="J126" s="8" t="s">
        <v>39</v>
      </c>
      <c r="K126" s="8" t="s">
        <v>40</v>
      </c>
      <c r="L126" s="8"/>
    </row>
    <row r="127" spans="1:12" ht="11.25">
      <c r="A127" s="10" t="s">
        <v>374</v>
      </c>
      <c r="B127" s="7" t="s">
        <v>375</v>
      </c>
      <c r="C127" s="7" t="s">
        <v>376</v>
      </c>
      <c r="D127" s="7" t="s">
        <v>37</v>
      </c>
      <c r="E127" s="7" t="s">
        <v>23</v>
      </c>
      <c r="F127" s="2">
        <f>DATE(2025,4,12)+TIME(17,15,42)</f>
        <v>45759.71923611111</v>
      </c>
      <c r="G127" s="7" t="s">
        <v>38</v>
      </c>
      <c r="H127" s="11">
        <v>570</v>
      </c>
      <c r="I127" s="11">
        <v>570</v>
      </c>
      <c r="J127" s="7" t="s">
        <v>39</v>
      </c>
      <c r="K127" s="7" t="s">
        <v>40</v>
      </c>
      <c r="L127" s="7"/>
    </row>
    <row r="128" spans="1:12" ht="11.25">
      <c r="A128" s="12" t="s">
        <v>377</v>
      </c>
      <c r="B128" s="8" t="s">
        <v>378</v>
      </c>
      <c r="C128" s="8" t="s">
        <v>148</v>
      </c>
      <c r="D128" s="8" t="s">
        <v>37</v>
      </c>
      <c r="E128" s="8" t="s">
        <v>25</v>
      </c>
      <c r="F128" s="4">
        <f>DATE(2025,1,31)+TIME(14,52,30)</f>
        <v>45688.619791666664</v>
      </c>
      <c r="G128" s="8" t="s">
        <v>38</v>
      </c>
      <c r="H128" s="13">
        <v>150</v>
      </c>
      <c r="I128" s="13">
        <v>150</v>
      </c>
      <c r="J128" s="8" t="s">
        <v>39</v>
      </c>
      <c r="K128" s="8" t="s">
        <v>40</v>
      </c>
      <c r="L128" s="8"/>
    </row>
    <row r="129" spans="1:12" ht="11.25">
      <c r="A129" s="10" t="s">
        <v>379</v>
      </c>
      <c r="B129" s="7" t="s">
        <v>380</v>
      </c>
      <c r="C129" s="7" t="s">
        <v>54</v>
      </c>
      <c r="D129" s="7" t="s">
        <v>37</v>
      </c>
      <c r="E129" s="7" t="s">
        <v>25</v>
      </c>
      <c r="F129" s="2">
        <f>DATE(2025,1,24)+TIME(12,27,56)</f>
        <v>45681.51939814815</v>
      </c>
      <c r="G129" s="7" t="s">
        <v>38</v>
      </c>
      <c r="H129" s="11">
        <v>0</v>
      </c>
      <c r="I129" s="11">
        <v>250</v>
      </c>
      <c r="J129" s="7" t="s">
        <v>39</v>
      </c>
      <c r="K129" s="7" t="s">
        <v>40</v>
      </c>
      <c r="L129" s="7"/>
    </row>
    <row r="130" spans="1:12" ht="11.25">
      <c r="A130" s="12" t="s">
        <v>381</v>
      </c>
      <c r="B130" s="8" t="s">
        <v>382</v>
      </c>
      <c r="C130" s="8" t="s">
        <v>383</v>
      </c>
      <c r="D130" s="8" t="s">
        <v>37</v>
      </c>
      <c r="E130" s="8" t="s">
        <v>24</v>
      </c>
      <c r="F130" s="4">
        <f>DATE(2025,3,9)+TIME(20,53,25)</f>
        <v>45725.87042824074</v>
      </c>
      <c r="G130" s="8" t="s">
        <v>384</v>
      </c>
      <c r="H130" s="13">
        <v>100</v>
      </c>
      <c r="I130" s="13">
        <v>100</v>
      </c>
      <c r="J130" s="8" t="s">
        <v>39</v>
      </c>
      <c r="K130" s="8" t="s">
        <v>40</v>
      </c>
      <c r="L130" s="8"/>
    </row>
    <row r="131" spans="1:12" ht="11.25">
      <c r="A131" s="10" t="s">
        <v>385</v>
      </c>
      <c r="B131" s="7" t="s">
        <v>386</v>
      </c>
      <c r="C131" s="7" t="s">
        <v>387</v>
      </c>
      <c r="D131" s="7" t="s">
        <v>37</v>
      </c>
      <c r="E131" s="7" t="s">
        <v>24</v>
      </c>
      <c r="F131" s="2">
        <f>DATE(2025,4,13)+TIME(11,33,16)</f>
        <v>45760.48143518518</v>
      </c>
      <c r="G131" s="7" t="s">
        <v>388</v>
      </c>
      <c r="H131" s="11">
        <v>0</v>
      </c>
      <c r="I131" s="11">
        <v>0</v>
      </c>
      <c r="J131" s="7" t="s">
        <v>39</v>
      </c>
      <c r="K131" s="7" t="s">
        <v>40</v>
      </c>
      <c r="L131" s="7"/>
    </row>
    <row r="132" spans="1:12" ht="11.25">
      <c r="A132" s="12" t="s">
        <v>389</v>
      </c>
      <c r="B132" s="8" t="s">
        <v>390</v>
      </c>
      <c r="C132" s="8" t="s">
        <v>391</v>
      </c>
      <c r="D132" s="8" t="s">
        <v>37</v>
      </c>
      <c r="E132" s="8" t="s">
        <v>30</v>
      </c>
      <c r="F132" s="4">
        <f>DATE(2025,4,4)+TIME(11,56,3)</f>
        <v>45751.49725694444</v>
      </c>
      <c r="G132" s="8" t="s">
        <v>38</v>
      </c>
      <c r="H132" s="13">
        <v>0</v>
      </c>
      <c r="I132" s="13">
        <v>0</v>
      </c>
      <c r="J132" s="8" t="s">
        <v>39</v>
      </c>
      <c r="K132" s="8" t="s">
        <v>40</v>
      </c>
      <c r="L132" s="8"/>
    </row>
    <row r="133" spans="1:12" ht="11.25">
      <c r="A133" s="10" t="s">
        <v>392</v>
      </c>
      <c r="B133" s="7" t="s">
        <v>393</v>
      </c>
      <c r="C133" s="7" t="s">
        <v>394</v>
      </c>
      <c r="D133" s="7" t="s">
        <v>37</v>
      </c>
      <c r="E133" s="7" t="s">
        <v>29</v>
      </c>
      <c r="F133" s="2">
        <f>DATE(2025,3,7)+TIME(12,25,8)</f>
        <v>45723.5174537037</v>
      </c>
      <c r="G133" s="7"/>
      <c r="H133" s="11">
        <v>0</v>
      </c>
      <c r="I133" s="11">
        <v>0</v>
      </c>
      <c r="J133" s="7" t="s">
        <v>39</v>
      </c>
      <c r="K133" s="7" t="s">
        <v>40</v>
      </c>
      <c r="L133" s="7" t="s">
        <v>38</v>
      </c>
    </row>
    <row r="134" spans="1:12" ht="11.25">
      <c r="A134" s="12" t="s">
        <v>395</v>
      </c>
      <c r="B134" s="8" t="s">
        <v>396</v>
      </c>
      <c r="C134" s="8" t="s">
        <v>397</v>
      </c>
      <c r="D134" s="8" t="s">
        <v>37</v>
      </c>
      <c r="E134" s="8" t="s">
        <v>23</v>
      </c>
      <c r="F134" s="4">
        <f>DATE(2025,4,11)+TIME(14,21,59)</f>
        <v>45758.598599537036</v>
      </c>
      <c r="G134" s="8" t="s">
        <v>38</v>
      </c>
      <c r="H134" s="13">
        <v>100</v>
      </c>
      <c r="I134" s="13">
        <v>100</v>
      </c>
      <c r="J134" s="8" t="s">
        <v>39</v>
      </c>
      <c r="K134" s="8" t="s">
        <v>48</v>
      </c>
      <c r="L134" s="8"/>
    </row>
    <row r="135" spans="1:12" ht="11.25">
      <c r="A135" s="10" t="s">
        <v>398</v>
      </c>
      <c r="B135" s="7" t="s">
        <v>399</v>
      </c>
      <c r="C135" s="7" t="s">
        <v>54</v>
      </c>
      <c r="D135" s="7" t="s">
        <v>37</v>
      </c>
      <c r="E135" s="7" t="s">
        <v>25</v>
      </c>
      <c r="F135" s="2">
        <f>DATE(2025,4,11)+TIME(12,43,32)</f>
        <v>45758.53023148148</v>
      </c>
      <c r="G135" s="7" t="s">
        <v>38</v>
      </c>
      <c r="H135" s="11">
        <v>0</v>
      </c>
      <c r="I135" s="11">
        <v>150</v>
      </c>
      <c r="J135" s="7" t="s">
        <v>39</v>
      </c>
      <c r="K135" s="7" t="s">
        <v>40</v>
      </c>
      <c r="L135" s="7"/>
    </row>
    <row r="136" spans="1:12" ht="11.25">
      <c r="A136" s="12" t="s">
        <v>400</v>
      </c>
      <c r="B136" s="8" t="s">
        <v>401</v>
      </c>
      <c r="C136" s="8" t="s">
        <v>205</v>
      </c>
      <c r="D136" s="8" t="s">
        <v>37</v>
      </c>
      <c r="E136" s="8" t="s">
        <v>26</v>
      </c>
      <c r="F136" s="4">
        <f>DATE(2025,3,4)+TIME(15,14,10)</f>
        <v>45720.63483796296</v>
      </c>
      <c r="G136" s="8" t="s">
        <v>38</v>
      </c>
      <c r="H136" s="13">
        <v>0</v>
      </c>
      <c r="I136" s="13">
        <v>0</v>
      </c>
      <c r="J136" s="8" t="s">
        <v>39</v>
      </c>
      <c r="K136" s="8" t="s">
        <v>40</v>
      </c>
      <c r="L136" s="8"/>
    </row>
    <row r="137" spans="1:12" ht="11.25">
      <c r="A137" s="10" t="s">
        <v>402</v>
      </c>
      <c r="B137" s="7" t="s">
        <v>403</v>
      </c>
      <c r="C137" s="7" t="s">
        <v>54</v>
      </c>
      <c r="D137" s="7" t="s">
        <v>37</v>
      </c>
      <c r="E137" s="7" t="s">
        <v>25</v>
      </c>
      <c r="F137" s="2">
        <f>DATE(2025,4,7)+TIME(10,24,10)</f>
        <v>45754.43344907407</v>
      </c>
      <c r="G137" s="7" t="s">
        <v>38</v>
      </c>
      <c r="H137" s="11">
        <v>0</v>
      </c>
      <c r="I137" s="11">
        <v>150</v>
      </c>
      <c r="J137" s="7" t="s">
        <v>39</v>
      </c>
      <c r="K137" s="7" t="s">
        <v>40</v>
      </c>
      <c r="L137" s="7" t="s">
        <v>38</v>
      </c>
    </row>
    <row r="138" spans="1:12" ht="11.25">
      <c r="A138" s="12" t="s">
        <v>404</v>
      </c>
      <c r="B138" s="8" t="s">
        <v>405</v>
      </c>
      <c r="C138" s="8" t="s">
        <v>148</v>
      </c>
      <c r="D138" s="8" t="s">
        <v>37</v>
      </c>
      <c r="E138" s="8" t="s">
        <v>28</v>
      </c>
      <c r="F138" s="4">
        <f>DATE(2025,2,28)+TIME(9,1,6)</f>
        <v>45716.375763888886</v>
      </c>
      <c r="G138" s="8" t="s">
        <v>38</v>
      </c>
      <c r="H138" s="13">
        <v>370</v>
      </c>
      <c r="I138" s="13">
        <v>370</v>
      </c>
      <c r="J138" s="8" t="s">
        <v>39</v>
      </c>
      <c r="K138" s="8" t="s">
        <v>40</v>
      </c>
      <c r="L138" s="8"/>
    </row>
    <row r="139" spans="1:12" ht="11.25">
      <c r="A139" s="10" t="s">
        <v>406</v>
      </c>
      <c r="B139" s="7" t="s">
        <v>407</v>
      </c>
      <c r="C139" s="7" t="s">
        <v>123</v>
      </c>
      <c r="D139" s="7" t="s">
        <v>37</v>
      </c>
      <c r="E139" s="7" t="s">
        <v>24</v>
      </c>
      <c r="F139" s="2">
        <f>DATE(2025,3,21)+TIME(16,21,27)</f>
        <v>45737.6815625</v>
      </c>
      <c r="G139" s="7" t="s">
        <v>38</v>
      </c>
      <c r="H139" s="11">
        <v>0</v>
      </c>
      <c r="I139" s="11">
        <v>0</v>
      </c>
      <c r="J139" s="7" t="s">
        <v>39</v>
      </c>
      <c r="K139" s="7" t="s">
        <v>40</v>
      </c>
      <c r="L139" s="7"/>
    </row>
    <row r="140" spans="1:12" ht="11.25">
      <c r="A140" s="12" t="s">
        <v>408</v>
      </c>
      <c r="B140" s="8" t="s">
        <v>409</v>
      </c>
      <c r="C140" s="8" t="s">
        <v>54</v>
      </c>
      <c r="D140" s="8" t="s">
        <v>37</v>
      </c>
      <c r="E140" s="8" t="s">
        <v>24</v>
      </c>
      <c r="F140" s="4">
        <f>DATE(2025,3,6)+TIME(19,41,48)</f>
        <v>45722.82069444445</v>
      </c>
      <c r="G140" s="8" t="s">
        <v>38</v>
      </c>
      <c r="H140" s="13">
        <v>0</v>
      </c>
      <c r="I140" s="13">
        <v>0</v>
      </c>
      <c r="J140" s="8" t="s">
        <v>39</v>
      </c>
      <c r="K140" s="8" t="s">
        <v>40</v>
      </c>
      <c r="L140" s="8" t="s">
        <v>38</v>
      </c>
    </row>
    <row r="141" spans="1:12" ht="11.25">
      <c r="A141" s="10" t="s">
        <v>410</v>
      </c>
      <c r="B141" s="7" t="s">
        <v>411</v>
      </c>
      <c r="C141" s="7" t="s">
        <v>123</v>
      </c>
      <c r="D141" s="7" t="s">
        <v>37</v>
      </c>
      <c r="E141" s="7" t="s">
        <v>25</v>
      </c>
      <c r="F141" s="2">
        <f>DATE(2025,3,3)+TIME(15,33,0)</f>
        <v>45719.64791666667</v>
      </c>
      <c r="G141" s="7" t="s">
        <v>38</v>
      </c>
      <c r="H141" s="11">
        <v>150</v>
      </c>
      <c r="I141" s="11">
        <v>150</v>
      </c>
      <c r="J141" s="7" t="s">
        <v>39</v>
      </c>
      <c r="K141" s="7" t="s">
        <v>40</v>
      </c>
      <c r="L141" s="7"/>
    </row>
    <row r="142" spans="1:12" ht="11.25">
      <c r="A142" s="12" t="s">
        <v>412</v>
      </c>
      <c r="B142" s="8" t="s">
        <v>413</v>
      </c>
      <c r="C142" s="8" t="s">
        <v>205</v>
      </c>
      <c r="D142" s="8" t="s">
        <v>37</v>
      </c>
      <c r="E142" s="8" t="s">
        <v>26</v>
      </c>
      <c r="F142" s="4">
        <f>DATE(2024,11,20)+TIME(13,55,13)</f>
        <v>45616.58001157407</v>
      </c>
      <c r="G142" s="8" t="s">
        <v>38</v>
      </c>
      <c r="H142" s="13">
        <v>0</v>
      </c>
      <c r="I142" s="13">
        <v>0</v>
      </c>
      <c r="J142" s="8" t="s">
        <v>39</v>
      </c>
      <c r="K142" s="8" t="s">
        <v>40</v>
      </c>
      <c r="L142" s="8"/>
    </row>
    <row r="143" spans="1:12" ht="11.25">
      <c r="A143" s="10" t="s">
        <v>414</v>
      </c>
      <c r="B143" s="7" t="s">
        <v>415</v>
      </c>
      <c r="C143" s="7" t="s">
        <v>416</v>
      </c>
      <c r="D143" s="7" t="s">
        <v>37</v>
      </c>
      <c r="E143" s="7" t="s">
        <v>28</v>
      </c>
      <c r="F143" s="2">
        <f>DATE(2025,3,2)+TIME(6,7,45)</f>
        <v>45718.255381944444</v>
      </c>
      <c r="G143" s="7" t="s">
        <v>417</v>
      </c>
      <c r="H143" s="11">
        <v>250</v>
      </c>
      <c r="I143" s="11">
        <v>250</v>
      </c>
      <c r="J143" s="7" t="s">
        <v>39</v>
      </c>
      <c r="K143" s="7" t="s">
        <v>40</v>
      </c>
      <c r="L143" s="7"/>
    </row>
    <row r="144" spans="1:12" ht="11.25">
      <c r="A144" s="12" t="s">
        <v>418</v>
      </c>
      <c r="B144" s="8" t="s">
        <v>419</v>
      </c>
      <c r="C144" s="8" t="s">
        <v>420</v>
      </c>
      <c r="D144" s="8" t="s">
        <v>37</v>
      </c>
      <c r="E144" s="8" t="s">
        <v>23</v>
      </c>
      <c r="F144" s="4">
        <f>DATE(2025,4,3)+TIME(13,7,29)</f>
        <v>45750.54686342592</v>
      </c>
      <c r="G144" s="8" t="s">
        <v>38</v>
      </c>
      <c r="H144" s="13">
        <v>100</v>
      </c>
      <c r="I144" s="13">
        <v>100</v>
      </c>
      <c r="J144" s="8" t="s">
        <v>39</v>
      </c>
      <c r="K144" s="8" t="s">
        <v>48</v>
      </c>
      <c r="L144" s="8"/>
    </row>
    <row r="145" spans="1:12" ht="11.25">
      <c r="A145" s="10" t="s">
        <v>421</v>
      </c>
      <c r="B145" s="7" t="s">
        <v>422</v>
      </c>
      <c r="C145" s="7" t="s">
        <v>423</v>
      </c>
      <c r="D145" s="7" t="s">
        <v>37</v>
      </c>
      <c r="E145" s="7" t="s">
        <v>24</v>
      </c>
      <c r="F145" s="2">
        <f>DATE(2025,3,24)+TIME(15,6,43)</f>
        <v>45740.62966435185</v>
      </c>
      <c r="G145" s="7" t="s">
        <v>38</v>
      </c>
      <c r="H145" s="11">
        <v>0</v>
      </c>
      <c r="I145" s="11">
        <v>0</v>
      </c>
      <c r="J145" s="7" t="s">
        <v>39</v>
      </c>
      <c r="K145" s="7" t="s">
        <v>40</v>
      </c>
      <c r="L145" s="7"/>
    </row>
    <row r="146" spans="1:12" ht="11.25">
      <c r="A146" s="12" t="s">
        <v>424</v>
      </c>
      <c r="B146" s="8" t="s">
        <v>425</v>
      </c>
      <c r="C146" s="8" t="s">
        <v>426</v>
      </c>
      <c r="D146" s="8" t="s">
        <v>37</v>
      </c>
      <c r="E146" s="8" t="s">
        <v>23</v>
      </c>
      <c r="F146" s="4">
        <f>DATE(2025,3,17)+TIME(8,50,23)</f>
        <v>45733.36832175926</v>
      </c>
      <c r="G146" s="8" t="s">
        <v>38</v>
      </c>
      <c r="H146" s="13">
        <v>100</v>
      </c>
      <c r="I146" s="13">
        <v>100</v>
      </c>
      <c r="J146" s="8" t="s">
        <v>39</v>
      </c>
      <c r="K146" s="8" t="s">
        <v>48</v>
      </c>
      <c r="L146" s="8"/>
    </row>
    <row r="147" spans="1:12" ht="11.25">
      <c r="A147" s="10" t="s">
        <v>427</v>
      </c>
      <c r="B147" s="7" t="s">
        <v>428</v>
      </c>
      <c r="C147" s="7" t="s">
        <v>429</v>
      </c>
      <c r="D147" s="7" t="s">
        <v>37</v>
      </c>
      <c r="E147" s="7" t="s">
        <v>23</v>
      </c>
      <c r="F147" s="2">
        <f>DATE(2025,4,6)+TIME(14,25,9)</f>
        <v>45753.600798611114</v>
      </c>
      <c r="G147" s="7" t="s">
        <v>38</v>
      </c>
      <c r="H147" s="11">
        <v>650</v>
      </c>
      <c r="I147" s="11">
        <v>650</v>
      </c>
      <c r="J147" s="7" t="s">
        <v>39</v>
      </c>
      <c r="K147" s="7" t="s">
        <v>40</v>
      </c>
      <c r="L147" s="7"/>
    </row>
    <row r="148" spans="1:12" ht="11.25">
      <c r="A148" s="12" t="s">
        <v>430</v>
      </c>
      <c r="B148" s="8" t="s">
        <v>431</v>
      </c>
      <c r="C148" s="8" t="s">
        <v>432</v>
      </c>
      <c r="D148" s="8" t="s">
        <v>37</v>
      </c>
      <c r="E148" s="8" t="s">
        <v>28</v>
      </c>
      <c r="F148" s="4">
        <f>DATE(2025,2,12)+TIME(14,58,45)</f>
        <v>45700.624131944445</v>
      </c>
      <c r="G148" s="8" t="s">
        <v>38</v>
      </c>
      <c r="H148" s="13">
        <v>0</v>
      </c>
      <c r="I148" s="13">
        <v>0</v>
      </c>
      <c r="J148" s="8" t="s">
        <v>39</v>
      </c>
      <c r="K148" s="8" t="s">
        <v>40</v>
      </c>
      <c r="L148" s="8"/>
    </row>
    <row r="149" spans="1:12" ht="11.25">
      <c r="A149" s="10" t="s">
        <v>433</v>
      </c>
      <c r="B149" s="7" t="s">
        <v>434</v>
      </c>
      <c r="C149" s="7" t="s">
        <v>435</v>
      </c>
      <c r="D149" s="7" t="s">
        <v>37</v>
      </c>
      <c r="E149" s="7" t="s">
        <v>24</v>
      </c>
      <c r="F149" s="2">
        <f>DATE(2025,2,21)+TIME(13,19,3)</f>
        <v>45709.55489583333</v>
      </c>
      <c r="G149" s="7" t="s">
        <v>38</v>
      </c>
      <c r="H149" s="11">
        <v>0</v>
      </c>
      <c r="I149" s="11">
        <v>0</v>
      </c>
      <c r="J149" s="7" t="s">
        <v>39</v>
      </c>
      <c r="K149" s="7" t="s">
        <v>40</v>
      </c>
      <c r="L149" s="7"/>
    </row>
    <row r="150" spans="1:12" ht="11.25">
      <c r="A150" s="12" t="s">
        <v>436</v>
      </c>
      <c r="B150" s="8" t="s">
        <v>437</v>
      </c>
      <c r="C150" s="8" t="s">
        <v>438</v>
      </c>
      <c r="D150" s="8" t="s">
        <v>37</v>
      </c>
      <c r="E150" s="8" t="s">
        <v>24</v>
      </c>
      <c r="F150" s="4">
        <f>DATE(2025,3,19)+TIME(8,39,41)</f>
        <v>45735.3608912037</v>
      </c>
      <c r="G150" s="8" t="s">
        <v>38</v>
      </c>
      <c r="H150" s="13">
        <v>0</v>
      </c>
      <c r="I150" s="13">
        <v>0</v>
      </c>
      <c r="J150" s="8" t="s">
        <v>39</v>
      </c>
      <c r="K150" s="8" t="s">
        <v>40</v>
      </c>
      <c r="L150" s="8"/>
    </row>
    <row r="151" spans="1:12" ht="11.25">
      <c r="A151" s="10" t="s">
        <v>439</v>
      </c>
      <c r="B151" s="7" t="s">
        <v>440</v>
      </c>
      <c r="C151" s="7" t="s">
        <v>441</v>
      </c>
      <c r="D151" s="7" t="s">
        <v>37</v>
      </c>
      <c r="E151" s="7" t="s">
        <v>24</v>
      </c>
      <c r="F151" s="2">
        <f>DATE(2025,3,26)+TIME(16,29,25)</f>
        <v>45742.68709490741</v>
      </c>
      <c r="G151" s="7" t="s">
        <v>154</v>
      </c>
      <c r="H151" s="11">
        <v>0</v>
      </c>
      <c r="I151" s="11">
        <v>0</v>
      </c>
      <c r="J151" s="7" t="s">
        <v>39</v>
      </c>
      <c r="K151" s="7" t="s">
        <v>40</v>
      </c>
      <c r="L151" s="7"/>
    </row>
    <row r="152" spans="1:12" ht="11.25">
      <c r="A152" s="12" t="s">
        <v>442</v>
      </c>
      <c r="B152" s="8" t="s">
        <v>443</v>
      </c>
      <c r="C152" s="8" t="s">
        <v>444</v>
      </c>
      <c r="D152" s="8" t="s">
        <v>37</v>
      </c>
      <c r="E152" s="8" t="s">
        <v>24</v>
      </c>
      <c r="F152" s="4">
        <f>DATE(2025,3,6)+TIME(6,55,29)</f>
        <v>45722.28853009259</v>
      </c>
      <c r="G152" s="8" t="s">
        <v>445</v>
      </c>
      <c r="H152" s="13">
        <v>0</v>
      </c>
      <c r="I152" s="13">
        <v>0</v>
      </c>
      <c r="J152" s="8" t="s">
        <v>39</v>
      </c>
      <c r="K152" s="8" t="s">
        <v>40</v>
      </c>
      <c r="L152" s="8"/>
    </row>
    <row r="153" spans="1:12" ht="11.25">
      <c r="A153" s="10" t="s">
        <v>446</v>
      </c>
      <c r="B153" s="7" t="s">
        <v>447</v>
      </c>
      <c r="C153" s="7" t="s">
        <v>54</v>
      </c>
      <c r="D153" s="7" t="s">
        <v>37</v>
      </c>
      <c r="E153" s="7" t="s">
        <v>25</v>
      </c>
      <c r="F153" s="2">
        <f>DATE(2025,3,3)+TIME(14,42,50)</f>
        <v>45719.613078703704</v>
      </c>
      <c r="G153" s="7" t="s">
        <v>38</v>
      </c>
      <c r="H153" s="11">
        <v>0</v>
      </c>
      <c r="I153" s="11">
        <v>150</v>
      </c>
      <c r="J153" s="7" t="s">
        <v>39</v>
      </c>
      <c r="K153" s="7" t="s">
        <v>40</v>
      </c>
      <c r="L153" s="7"/>
    </row>
    <row r="154" spans="1:12" ht="11.25">
      <c r="A154" s="12" t="s">
        <v>448</v>
      </c>
      <c r="B154" s="8" t="s">
        <v>449</v>
      </c>
      <c r="C154" s="8" t="s">
        <v>95</v>
      </c>
      <c r="D154" s="8" t="s">
        <v>37</v>
      </c>
      <c r="E154" s="8" t="s">
        <v>26</v>
      </c>
      <c r="F154" s="4">
        <f>DATE(2025,3,5)+TIME(13,48,0)</f>
        <v>45721.575</v>
      </c>
      <c r="G154" s="8" t="s">
        <v>38</v>
      </c>
      <c r="H154" s="13">
        <v>0</v>
      </c>
      <c r="I154" s="13">
        <v>0</v>
      </c>
      <c r="J154" s="8" t="s">
        <v>39</v>
      </c>
      <c r="K154" s="8" t="s">
        <v>40</v>
      </c>
      <c r="L154" s="8"/>
    </row>
    <row r="155" spans="1:12" ht="11.25">
      <c r="A155" s="10" t="s">
        <v>450</v>
      </c>
      <c r="B155" s="7" t="s">
        <v>451</v>
      </c>
      <c r="C155" s="7" t="s">
        <v>452</v>
      </c>
      <c r="D155" s="7" t="s">
        <v>37</v>
      </c>
      <c r="E155" s="7" t="s">
        <v>28</v>
      </c>
      <c r="F155" s="2">
        <f>DATE(2025,4,4)+TIME(16,29,51)</f>
        <v>45751.68739583333</v>
      </c>
      <c r="G155" s="7" t="s">
        <v>38</v>
      </c>
      <c r="H155" s="11">
        <v>250</v>
      </c>
      <c r="I155" s="11">
        <v>250</v>
      </c>
      <c r="J155" s="7" t="s">
        <v>39</v>
      </c>
      <c r="K155" s="7" t="s">
        <v>40</v>
      </c>
      <c r="L155" s="7"/>
    </row>
    <row r="156" spans="1:12" ht="11.25">
      <c r="A156" s="12" t="s">
        <v>453</v>
      </c>
      <c r="B156" s="8" t="s">
        <v>454</v>
      </c>
      <c r="C156" s="8" t="s">
        <v>302</v>
      </c>
      <c r="D156" s="8" t="s">
        <v>37</v>
      </c>
      <c r="E156" s="8" t="s">
        <v>28</v>
      </c>
      <c r="F156" s="4">
        <f>DATE(2025,3,24)+TIME(13,7,26)</f>
        <v>45740.5468287037</v>
      </c>
      <c r="G156" s="8" t="s">
        <v>38</v>
      </c>
      <c r="H156" s="13">
        <v>0</v>
      </c>
      <c r="I156" s="13">
        <v>250</v>
      </c>
      <c r="J156" s="8" t="s">
        <v>39</v>
      </c>
      <c r="K156" s="8" t="s">
        <v>40</v>
      </c>
      <c r="L156" s="8"/>
    </row>
    <row r="157" spans="1:12" ht="11.25">
      <c r="A157" s="10" t="s">
        <v>455</v>
      </c>
      <c r="B157" s="7" t="s">
        <v>456</v>
      </c>
      <c r="C157" s="7" t="s">
        <v>457</v>
      </c>
      <c r="D157" s="7" t="s">
        <v>37</v>
      </c>
      <c r="E157" s="7" t="s">
        <v>29</v>
      </c>
      <c r="F157" s="2">
        <f>DATE(2025,4,1)+TIME(14,40,47)</f>
        <v>45748.611655092594</v>
      </c>
      <c r="G157" s="7" t="s">
        <v>38</v>
      </c>
      <c r="H157" s="11">
        <v>0</v>
      </c>
      <c r="I157" s="11">
        <v>0</v>
      </c>
      <c r="J157" s="7" t="s">
        <v>39</v>
      </c>
      <c r="K157" s="7" t="s">
        <v>40</v>
      </c>
      <c r="L157" s="7" t="s">
        <v>38</v>
      </c>
    </row>
    <row r="158" spans="1:12" ht="11.25">
      <c r="A158" s="12" t="s">
        <v>458</v>
      </c>
      <c r="B158" s="8" t="s">
        <v>459</v>
      </c>
      <c r="C158" s="8" t="s">
        <v>95</v>
      </c>
      <c r="D158" s="8" t="s">
        <v>37</v>
      </c>
      <c r="E158" s="8" t="s">
        <v>26</v>
      </c>
      <c r="F158" s="4">
        <f>DATE(2024,11,25)+TIME(10,35,52)</f>
        <v>45621.44157407407</v>
      </c>
      <c r="G158" s="8" t="s">
        <v>38</v>
      </c>
      <c r="H158" s="13">
        <v>0</v>
      </c>
      <c r="I158" s="13">
        <v>0</v>
      </c>
      <c r="J158" s="8" t="s">
        <v>39</v>
      </c>
      <c r="K158" s="8" t="s">
        <v>40</v>
      </c>
      <c r="L158" s="8"/>
    </row>
    <row r="159" spans="1:12" ht="11.25">
      <c r="A159" s="10" t="s">
        <v>460</v>
      </c>
      <c r="B159" s="7" t="s">
        <v>461</v>
      </c>
      <c r="C159" s="7" t="s">
        <v>462</v>
      </c>
      <c r="D159" s="7" t="s">
        <v>37</v>
      </c>
      <c r="E159" s="7" t="s">
        <v>24</v>
      </c>
      <c r="F159" s="2">
        <f>DATE(2025,3,24)+TIME(22,36,28)</f>
        <v>45740.94199074074</v>
      </c>
      <c r="G159" s="7" t="s">
        <v>463</v>
      </c>
      <c r="H159" s="11">
        <v>0</v>
      </c>
      <c r="I159" s="11">
        <v>0</v>
      </c>
      <c r="J159" s="7" t="s">
        <v>39</v>
      </c>
      <c r="K159" s="7" t="s">
        <v>40</v>
      </c>
      <c r="L159" s="7"/>
    </row>
    <row r="160" spans="1:12" ht="11.25">
      <c r="A160" s="12" t="s">
        <v>464</v>
      </c>
      <c r="B160" s="8" t="s">
        <v>465</v>
      </c>
      <c r="C160" s="8" t="s">
        <v>466</v>
      </c>
      <c r="D160" s="8" t="s">
        <v>37</v>
      </c>
      <c r="E160" s="8" t="s">
        <v>24</v>
      </c>
      <c r="F160" s="4">
        <f>DATE(2025,3,10)+TIME(13,31,25)</f>
        <v>45726.56348379629</v>
      </c>
      <c r="G160" s="8" t="s">
        <v>38</v>
      </c>
      <c r="H160" s="13">
        <v>20</v>
      </c>
      <c r="I160" s="13">
        <v>20</v>
      </c>
      <c r="J160" s="8" t="s">
        <v>39</v>
      </c>
      <c r="K160" s="8" t="s">
        <v>40</v>
      </c>
      <c r="L160" s="8"/>
    </row>
    <row r="161" spans="1:12" ht="11.25">
      <c r="A161" s="10" t="s">
        <v>467</v>
      </c>
      <c r="B161" s="7" t="s">
        <v>468</v>
      </c>
      <c r="C161" s="7" t="s">
        <v>466</v>
      </c>
      <c r="D161" s="7" t="s">
        <v>37</v>
      </c>
      <c r="E161" s="7" t="s">
        <v>30</v>
      </c>
      <c r="F161" s="2">
        <f>DATE(2025,4,4)+TIME(14,24,28)</f>
        <v>45751.600324074076</v>
      </c>
      <c r="G161" s="7" t="s">
        <v>38</v>
      </c>
      <c r="H161" s="11">
        <v>0</v>
      </c>
      <c r="I161" s="11">
        <v>0</v>
      </c>
      <c r="J161" s="7" t="s">
        <v>39</v>
      </c>
      <c r="K161" s="7" t="s">
        <v>40</v>
      </c>
      <c r="L161" s="7"/>
    </row>
    <row r="162" spans="1:12" ht="11.25">
      <c r="A162" s="12" t="s">
        <v>469</v>
      </c>
      <c r="B162" s="8" t="s">
        <v>470</v>
      </c>
      <c r="C162" s="8" t="s">
        <v>471</v>
      </c>
      <c r="D162" s="8" t="s">
        <v>37</v>
      </c>
      <c r="E162" s="8" t="s">
        <v>24</v>
      </c>
      <c r="F162" s="4">
        <f>DATE(2025,2,24)+TIME(15,23,29)</f>
        <v>45712.64130787037</v>
      </c>
      <c r="G162" s="8" t="s">
        <v>38</v>
      </c>
      <c r="H162" s="13">
        <v>0</v>
      </c>
      <c r="I162" s="13">
        <v>0</v>
      </c>
      <c r="J162" s="8" t="s">
        <v>39</v>
      </c>
      <c r="K162" s="8" t="s">
        <v>40</v>
      </c>
      <c r="L162" s="8"/>
    </row>
    <row r="163" spans="1:12" ht="11.25">
      <c r="A163" s="10" t="s">
        <v>472</v>
      </c>
      <c r="B163" s="7" t="s">
        <v>473</v>
      </c>
      <c r="C163" s="7" t="s">
        <v>474</v>
      </c>
      <c r="D163" s="7" t="s">
        <v>37</v>
      </c>
      <c r="E163" s="7" t="s">
        <v>27</v>
      </c>
      <c r="F163" s="2">
        <f>DATE(2025,4,13)+TIME(15,49,29)</f>
        <v>45760.659363425926</v>
      </c>
      <c r="G163" s="7" t="s">
        <v>81</v>
      </c>
      <c r="H163" s="11">
        <v>0</v>
      </c>
      <c r="I163" s="11">
        <v>470</v>
      </c>
      <c r="J163" s="7" t="s">
        <v>39</v>
      </c>
      <c r="K163" s="7" t="s">
        <v>40</v>
      </c>
      <c r="L163" s="7"/>
    </row>
    <row r="164" spans="1:12" ht="11.25">
      <c r="A164" s="12" t="s">
        <v>475</v>
      </c>
      <c r="B164" s="8" t="s">
        <v>476</v>
      </c>
      <c r="C164" s="8" t="s">
        <v>477</v>
      </c>
      <c r="D164" s="8" t="s">
        <v>37</v>
      </c>
      <c r="E164" s="8" t="s">
        <v>23</v>
      </c>
      <c r="F164" s="4">
        <f>DATE(2025,4,13)+TIME(20,56,49)</f>
        <v>45760.87278935185</v>
      </c>
      <c r="G164" s="8" t="s">
        <v>38</v>
      </c>
      <c r="H164" s="13">
        <v>550</v>
      </c>
      <c r="I164" s="13">
        <v>550</v>
      </c>
      <c r="J164" s="8" t="s">
        <v>39</v>
      </c>
      <c r="K164" s="8" t="s">
        <v>40</v>
      </c>
      <c r="L164" s="8"/>
    </row>
    <row r="165" spans="1:12" ht="11.25">
      <c r="A165" s="10" t="s">
        <v>478</v>
      </c>
      <c r="B165" s="7" t="s">
        <v>479</v>
      </c>
      <c r="C165" s="7" t="s">
        <v>480</v>
      </c>
      <c r="D165" s="7" t="s">
        <v>37</v>
      </c>
      <c r="E165" s="7" t="s">
        <v>26</v>
      </c>
      <c r="F165" s="2">
        <f>DATE(2025,3,5)+TIME(8,40,54)</f>
        <v>45721.36173611111</v>
      </c>
      <c r="G165" s="7" t="s">
        <v>38</v>
      </c>
      <c r="H165" s="11">
        <v>0</v>
      </c>
      <c r="I165" s="11">
        <v>0</v>
      </c>
      <c r="J165" s="7" t="s">
        <v>39</v>
      </c>
      <c r="K165" s="7" t="s">
        <v>40</v>
      </c>
      <c r="L165" s="7"/>
    </row>
    <row r="166" spans="1:12" ht="11.25">
      <c r="A166" s="12" t="s">
        <v>481</v>
      </c>
      <c r="B166" s="8" t="s">
        <v>482</v>
      </c>
      <c r="C166" s="8" t="s">
        <v>148</v>
      </c>
      <c r="D166" s="8" t="s">
        <v>37</v>
      </c>
      <c r="E166" s="8" t="s">
        <v>26</v>
      </c>
      <c r="F166" s="4">
        <f>DATE(2025,4,3)+TIME(12,8,22)</f>
        <v>45750.50581018518</v>
      </c>
      <c r="G166" s="8" t="s">
        <v>38</v>
      </c>
      <c r="H166" s="13">
        <v>0</v>
      </c>
      <c r="I166" s="13">
        <v>0</v>
      </c>
      <c r="J166" s="8" t="s">
        <v>39</v>
      </c>
      <c r="K166" s="8" t="s">
        <v>40</v>
      </c>
      <c r="L166" s="8"/>
    </row>
    <row r="167" spans="1:12" ht="11.25">
      <c r="A167" s="10" t="s">
        <v>483</v>
      </c>
      <c r="B167" s="7" t="s">
        <v>484</v>
      </c>
      <c r="C167" s="7" t="s">
        <v>54</v>
      </c>
      <c r="D167" s="7" t="s">
        <v>37</v>
      </c>
      <c r="E167" s="7" t="s">
        <v>25</v>
      </c>
      <c r="F167" s="2">
        <f>DATE(2025,3,7)+TIME(8,39,50)</f>
        <v>45723.36099537037</v>
      </c>
      <c r="G167" s="7" t="s">
        <v>38</v>
      </c>
      <c r="H167" s="11">
        <v>0</v>
      </c>
      <c r="I167" s="11">
        <v>150</v>
      </c>
      <c r="J167" s="7" t="s">
        <v>39</v>
      </c>
      <c r="K167" s="7" t="s">
        <v>40</v>
      </c>
      <c r="L167" s="7"/>
    </row>
    <row r="168" spans="1:12" ht="11.25">
      <c r="A168" s="12" t="s">
        <v>485</v>
      </c>
      <c r="B168" s="8" t="s">
        <v>486</v>
      </c>
      <c r="C168" s="8" t="s">
        <v>218</v>
      </c>
      <c r="D168" s="8" t="s">
        <v>37</v>
      </c>
      <c r="E168" s="8" t="s">
        <v>24</v>
      </c>
      <c r="F168" s="4">
        <f>DATE(2025,3,24)+TIME(13,9,5)</f>
        <v>45740.54797453704</v>
      </c>
      <c r="G168" s="8" t="s">
        <v>219</v>
      </c>
      <c r="H168" s="13">
        <v>0</v>
      </c>
      <c r="I168" s="13">
        <v>0</v>
      </c>
      <c r="J168" s="8" t="s">
        <v>39</v>
      </c>
      <c r="K168" s="8" t="s">
        <v>40</v>
      </c>
      <c r="L168" s="8"/>
    </row>
    <row r="169" spans="1:12" ht="11.25">
      <c r="A169" s="10" t="s">
        <v>487</v>
      </c>
      <c r="B169" s="7" t="s">
        <v>488</v>
      </c>
      <c r="C169" s="7" t="s">
        <v>54</v>
      </c>
      <c r="D169" s="7" t="s">
        <v>37</v>
      </c>
      <c r="E169" s="7" t="s">
        <v>28</v>
      </c>
      <c r="F169" s="2">
        <f>DATE(2025,1,22)+TIME(13,39,26)</f>
        <v>45679.56905092593</v>
      </c>
      <c r="G169" s="7" t="s">
        <v>38</v>
      </c>
      <c r="H169" s="11">
        <v>0</v>
      </c>
      <c r="I169" s="11">
        <v>250</v>
      </c>
      <c r="J169" s="7" t="s">
        <v>39</v>
      </c>
      <c r="K169" s="7" t="s">
        <v>40</v>
      </c>
      <c r="L169" s="7"/>
    </row>
    <row r="170" spans="1:12" ht="11.25">
      <c r="A170" s="12" t="s">
        <v>489</v>
      </c>
      <c r="B170" s="8" t="s">
        <v>490</v>
      </c>
      <c r="C170" s="8" t="s">
        <v>491</v>
      </c>
      <c r="D170" s="8" t="s">
        <v>37</v>
      </c>
      <c r="E170" s="8" t="s">
        <v>24</v>
      </c>
      <c r="F170" s="4">
        <f>DATE(2025,3,14)+TIME(11,32,33)</f>
        <v>45730.4809375</v>
      </c>
      <c r="G170" s="8" t="s">
        <v>492</v>
      </c>
      <c r="H170" s="13">
        <v>0</v>
      </c>
      <c r="I170" s="13">
        <v>0</v>
      </c>
      <c r="J170" s="8" t="s">
        <v>39</v>
      </c>
      <c r="K170" s="8" t="s">
        <v>40</v>
      </c>
      <c r="L170" s="8"/>
    </row>
    <row r="171" spans="1:12" ht="11.25">
      <c r="A171" s="10" t="s">
        <v>493</v>
      </c>
      <c r="B171" s="7" t="s">
        <v>494</v>
      </c>
      <c r="C171" s="7" t="s">
        <v>302</v>
      </c>
      <c r="D171" s="7" t="s">
        <v>37</v>
      </c>
      <c r="E171" s="7" t="s">
        <v>25</v>
      </c>
      <c r="F171" s="2">
        <f>DATE(2025,3,4)+TIME(9,50,55)</f>
        <v>45720.410358796296</v>
      </c>
      <c r="G171" s="7" t="s">
        <v>38</v>
      </c>
      <c r="H171" s="11">
        <v>0</v>
      </c>
      <c r="I171" s="11">
        <v>150</v>
      </c>
      <c r="J171" s="7" t="s">
        <v>39</v>
      </c>
      <c r="K171" s="7" t="s">
        <v>40</v>
      </c>
      <c r="L171" s="7"/>
    </row>
    <row r="172" spans="1:12" ht="11.25">
      <c r="A172" s="12" t="s">
        <v>495</v>
      </c>
      <c r="B172" s="8" t="s">
        <v>496</v>
      </c>
      <c r="C172" s="8" t="s">
        <v>497</v>
      </c>
      <c r="D172" s="8" t="s">
        <v>37</v>
      </c>
      <c r="E172" s="8" t="s">
        <v>23</v>
      </c>
      <c r="F172" s="4">
        <f>DATE(2025,4,1)+TIME(8,54,5)</f>
        <v>45748.370891203704</v>
      </c>
      <c r="G172" s="8" t="s">
        <v>38</v>
      </c>
      <c r="H172" s="13">
        <v>100</v>
      </c>
      <c r="I172" s="13">
        <v>100</v>
      </c>
      <c r="J172" s="8" t="s">
        <v>39</v>
      </c>
      <c r="K172" s="8" t="s">
        <v>48</v>
      </c>
      <c r="L172" s="8"/>
    </row>
    <row r="173" spans="1:12" ht="11.25">
      <c r="A173" s="10" t="s">
        <v>498</v>
      </c>
      <c r="B173" s="7" t="s">
        <v>499</v>
      </c>
      <c r="C173" s="7" t="s">
        <v>302</v>
      </c>
      <c r="D173" s="7" t="s">
        <v>37</v>
      </c>
      <c r="E173" s="7" t="s">
        <v>28</v>
      </c>
      <c r="F173" s="2">
        <f>DATE(2025,4,3)+TIME(16,3,9)</f>
        <v>45750.668854166666</v>
      </c>
      <c r="G173" s="7" t="s">
        <v>38</v>
      </c>
      <c r="H173" s="11">
        <v>0</v>
      </c>
      <c r="I173" s="11">
        <v>250</v>
      </c>
      <c r="J173" s="7" t="s">
        <v>39</v>
      </c>
      <c r="K173" s="7" t="s">
        <v>40</v>
      </c>
      <c r="L173" s="7"/>
    </row>
    <row r="174" spans="1:12" ht="11.25">
      <c r="A174" s="12" t="s">
        <v>500</v>
      </c>
      <c r="B174" s="8" t="s">
        <v>501</v>
      </c>
      <c r="C174" s="8" t="s">
        <v>67</v>
      </c>
      <c r="D174" s="8" t="s">
        <v>37</v>
      </c>
      <c r="E174" s="8" t="s">
        <v>25</v>
      </c>
      <c r="F174" s="4">
        <f>DATE(2025,4,4)+TIME(16,33,20)</f>
        <v>45751.68981481482</v>
      </c>
      <c r="G174" s="8" t="s">
        <v>38</v>
      </c>
      <c r="H174" s="13">
        <v>0</v>
      </c>
      <c r="I174" s="13">
        <v>150</v>
      </c>
      <c r="J174" s="8" t="s">
        <v>39</v>
      </c>
      <c r="K174" s="8" t="s">
        <v>40</v>
      </c>
      <c r="L174" s="8"/>
    </row>
    <row r="175" spans="1:12" ht="11.25">
      <c r="A175" s="10" t="s">
        <v>502</v>
      </c>
      <c r="B175" s="7" t="s">
        <v>503</v>
      </c>
      <c r="C175" s="7" t="s">
        <v>54</v>
      </c>
      <c r="D175" s="7" t="s">
        <v>37</v>
      </c>
      <c r="E175" s="7" t="s">
        <v>25</v>
      </c>
      <c r="F175" s="2">
        <f>DATE(2025,2,27)+TIME(16,22,34)</f>
        <v>45715.682337962964</v>
      </c>
      <c r="G175" s="7" t="s">
        <v>38</v>
      </c>
      <c r="H175" s="11">
        <v>0</v>
      </c>
      <c r="I175" s="11">
        <v>150</v>
      </c>
      <c r="J175" s="7" t="s">
        <v>39</v>
      </c>
      <c r="K175" s="7" t="s">
        <v>40</v>
      </c>
      <c r="L175" s="7"/>
    </row>
    <row r="176" spans="1:12" ht="11.25">
      <c r="A176" s="12" t="s">
        <v>504</v>
      </c>
      <c r="B176" s="8" t="s">
        <v>505</v>
      </c>
      <c r="C176" s="8" t="s">
        <v>54</v>
      </c>
      <c r="D176" s="8" t="s">
        <v>37</v>
      </c>
      <c r="E176" s="8" t="s">
        <v>26</v>
      </c>
      <c r="F176" s="4">
        <f>DATE(2025,4,11)+TIME(8,55,21)</f>
        <v>45758.371770833335</v>
      </c>
      <c r="G176" s="8" t="s">
        <v>38</v>
      </c>
      <c r="H176" s="13">
        <v>0</v>
      </c>
      <c r="I176" s="13">
        <v>0</v>
      </c>
      <c r="J176" s="8" t="s">
        <v>39</v>
      </c>
      <c r="K176" s="8" t="s">
        <v>40</v>
      </c>
      <c r="L176" s="8"/>
    </row>
    <row r="177" spans="1:12" ht="11.25">
      <c r="A177" s="10" t="s">
        <v>506</v>
      </c>
      <c r="B177" s="7" t="s">
        <v>507</v>
      </c>
      <c r="C177" s="7" t="s">
        <v>508</v>
      </c>
      <c r="D177" s="7" t="s">
        <v>37</v>
      </c>
      <c r="E177" s="7" t="s">
        <v>24</v>
      </c>
      <c r="F177" s="2">
        <f>DATE(2025,4,14)+TIME(12,35,53)</f>
        <v>45761.52491898148</v>
      </c>
      <c r="G177" s="7" t="s">
        <v>38</v>
      </c>
      <c r="H177" s="11">
        <v>0</v>
      </c>
      <c r="I177" s="11">
        <v>0</v>
      </c>
      <c r="J177" s="7" t="s">
        <v>39</v>
      </c>
      <c r="K177" s="7" t="s">
        <v>40</v>
      </c>
      <c r="L177" s="7"/>
    </row>
    <row r="178" spans="1:12" ht="11.25">
      <c r="A178" s="12" t="s">
        <v>509</v>
      </c>
      <c r="B178" s="8" t="s">
        <v>510</v>
      </c>
      <c r="C178" s="8" t="s">
        <v>511</v>
      </c>
      <c r="D178" s="8" t="s">
        <v>37</v>
      </c>
      <c r="E178" s="8" t="s">
        <v>24</v>
      </c>
      <c r="F178" s="4">
        <f>DATE(2025,4,4)+TIME(13,7,36)</f>
        <v>45751.546944444446</v>
      </c>
      <c r="G178" s="8" t="s">
        <v>38</v>
      </c>
      <c r="H178" s="13">
        <v>0</v>
      </c>
      <c r="I178" s="13">
        <v>0</v>
      </c>
      <c r="J178" s="8" t="s">
        <v>39</v>
      </c>
      <c r="K178" s="8" t="s">
        <v>40</v>
      </c>
      <c r="L178" s="8"/>
    </row>
    <row r="179" spans="1:12" ht="11.25">
      <c r="A179" s="10" t="s">
        <v>512</v>
      </c>
      <c r="B179" s="7" t="s">
        <v>513</v>
      </c>
      <c r="C179" s="7" t="s">
        <v>514</v>
      </c>
      <c r="D179" s="7" t="s">
        <v>37</v>
      </c>
      <c r="E179" s="7" t="s">
        <v>30</v>
      </c>
      <c r="F179" s="2">
        <f>DATE(2025,2,6)+TIME(11,46,1)</f>
        <v>45694.49028935185</v>
      </c>
      <c r="G179" s="7" t="s">
        <v>38</v>
      </c>
      <c r="H179" s="11">
        <v>0</v>
      </c>
      <c r="I179" s="11">
        <v>0</v>
      </c>
      <c r="J179" s="7" t="s">
        <v>39</v>
      </c>
      <c r="K179" s="7" t="s">
        <v>40</v>
      </c>
      <c r="L179" s="7"/>
    </row>
    <row r="180" spans="1:12" ht="11.25">
      <c r="A180" s="12" t="s">
        <v>515</v>
      </c>
      <c r="B180" s="8" t="s">
        <v>516</v>
      </c>
      <c r="C180" s="8" t="s">
        <v>517</v>
      </c>
      <c r="D180" s="8" t="s">
        <v>37</v>
      </c>
      <c r="E180" s="8" t="s">
        <v>29</v>
      </c>
      <c r="F180" s="4">
        <f>DATE(2025,2,21)+TIME(15,18,4)</f>
        <v>45709.6375462963</v>
      </c>
      <c r="G180" s="8"/>
      <c r="H180" s="13">
        <v>0</v>
      </c>
      <c r="I180" s="13">
        <v>0</v>
      </c>
      <c r="J180" s="8" t="s">
        <v>39</v>
      </c>
      <c r="K180" s="8" t="s">
        <v>40</v>
      </c>
      <c r="L180" s="8" t="s">
        <v>38</v>
      </c>
    </row>
    <row r="181" spans="1:12" ht="11.25">
      <c r="A181" s="10" t="s">
        <v>518</v>
      </c>
      <c r="B181" s="7" t="s">
        <v>519</v>
      </c>
      <c r="C181" s="7" t="s">
        <v>205</v>
      </c>
      <c r="D181" s="7" t="s">
        <v>37</v>
      </c>
      <c r="E181" s="7" t="s">
        <v>24</v>
      </c>
      <c r="F181" s="2">
        <f>DATE(2025,4,3)+TIME(12,9,45)</f>
        <v>45750.50677083333</v>
      </c>
      <c r="G181" s="7" t="s">
        <v>38</v>
      </c>
      <c r="H181" s="11">
        <v>0</v>
      </c>
      <c r="I181" s="11">
        <v>0</v>
      </c>
      <c r="J181" s="7" t="s">
        <v>39</v>
      </c>
      <c r="K181" s="7" t="s">
        <v>40</v>
      </c>
      <c r="L181" s="7"/>
    </row>
    <row r="182" spans="1:12" ht="11.25">
      <c r="A182" s="12" t="s">
        <v>520</v>
      </c>
      <c r="B182" s="8" t="s">
        <v>521</v>
      </c>
      <c r="C182" s="8" t="s">
        <v>522</v>
      </c>
      <c r="D182" s="8" t="s">
        <v>37</v>
      </c>
      <c r="E182" s="8" t="s">
        <v>29</v>
      </c>
      <c r="F182" s="4">
        <f>DATE(2025,4,1)+TIME(14,30,47)</f>
        <v>45748.60471064815</v>
      </c>
      <c r="G182" s="8"/>
      <c r="H182" s="13">
        <v>0</v>
      </c>
      <c r="I182" s="13">
        <v>0</v>
      </c>
      <c r="J182" s="8" t="s">
        <v>39</v>
      </c>
      <c r="K182" s="8" t="s">
        <v>40</v>
      </c>
      <c r="L182" s="8" t="s">
        <v>38</v>
      </c>
    </row>
    <row r="183" spans="1:12" ht="11.25">
      <c r="A183" s="10" t="s">
        <v>523</v>
      </c>
      <c r="B183" s="7" t="s">
        <v>524</v>
      </c>
      <c r="C183" s="7" t="s">
        <v>525</v>
      </c>
      <c r="D183" s="7" t="s">
        <v>37</v>
      </c>
      <c r="E183" s="7" t="s">
        <v>29</v>
      </c>
      <c r="F183" s="2">
        <f>DATE(2025,3,31)+TIME(14,16,15)</f>
        <v>45747.594618055555</v>
      </c>
      <c r="G183" s="7"/>
      <c r="H183" s="11">
        <v>0</v>
      </c>
      <c r="I183" s="11">
        <v>0</v>
      </c>
      <c r="J183" s="7" t="s">
        <v>39</v>
      </c>
      <c r="K183" s="7" t="s">
        <v>40</v>
      </c>
      <c r="L183" s="7" t="s">
        <v>38</v>
      </c>
    </row>
    <row r="184" spans="1:12" ht="11.25">
      <c r="A184" s="12" t="s">
        <v>526</v>
      </c>
      <c r="B184" s="8" t="s">
        <v>527</v>
      </c>
      <c r="C184" s="8" t="s">
        <v>198</v>
      </c>
      <c r="D184" s="8" t="s">
        <v>37</v>
      </c>
      <c r="E184" s="8" t="s">
        <v>26</v>
      </c>
      <c r="F184" s="4">
        <f>DATE(2024,11,19)+TIME(16,49,15)</f>
        <v>45615.70086805556</v>
      </c>
      <c r="G184" s="8" t="s">
        <v>38</v>
      </c>
      <c r="H184" s="13">
        <v>0</v>
      </c>
      <c r="I184" s="13">
        <v>0</v>
      </c>
      <c r="J184" s="8" t="s">
        <v>39</v>
      </c>
      <c r="K184" s="8" t="s">
        <v>40</v>
      </c>
      <c r="L184" s="8"/>
    </row>
    <row r="185" spans="1:12" ht="11.25">
      <c r="A185" s="10" t="s">
        <v>528</v>
      </c>
      <c r="B185" s="7" t="s">
        <v>529</v>
      </c>
      <c r="C185" s="7" t="s">
        <v>185</v>
      </c>
      <c r="D185" s="7" t="s">
        <v>37</v>
      </c>
      <c r="E185" s="7" t="s">
        <v>23</v>
      </c>
      <c r="F185" s="2">
        <f>DATE(2025,4,4)+TIME(7,49,21)</f>
        <v>45751.3259375</v>
      </c>
      <c r="G185" s="7" t="s">
        <v>81</v>
      </c>
      <c r="H185" s="11">
        <v>550</v>
      </c>
      <c r="I185" s="11">
        <v>550</v>
      </c>
      <c r="J185" s="7" t="s">
        <v>39</v>
      </c>
      <c r="K185" s="7" t="s">
        <v>40</v>
      </c>
      <c r="L185" s="7"/>
    </row>
    <row r="186" spans="1:12" ht="11.25">
      <c r="A186" s="12" t="s">
        <v>530</v>
      </c>
      <c r="B186" s="8" t="s">
        <v>531</v>
      </c>
      <c r="C186" s="8" t="s">
        <v>532</v>
      </c>
      <c r="D186" s="8" t="s">
        <v>37</v>
      </c>
      <c r="E186" s="8" t="s">
        <v>27</v>
      </c>
      <c r="F186" s="4">
        <f>DATE(2025,4,13)+TIME(16,5,38)</f>
        <v>45760.670578703706</v>
      </c>
      <c r="G186" s="8" t="s">
        <v>81</v>
      </c>
      <c r="H186" s="13">
        <v>0</v>
      </c>
      <c r="I186" s="13">
        <v>470</v>
      </c>
      <c r="J186" s="8" t="s">
        <v>39</v>
      </c>
      <c r="K186" s="8" t="s">
        <v>40</v>
      </c>
      <c r="L186" s="8"/>
    </row>
    <row r="187" spans="1:12" ht="11.25">
      <c r="A187" s="10" t="s">
        <v>533</v>
      </c>
      <c r="B187" s="7" t="s">
        <v>534</v>
      </c>
      <c r="C187" s="7" t="s">
        <v>54</v>
      </c>
      <c r="D187" s="7" t="s">
        <v>37</v>
      </c>
      <c r="E187" s="7" t="s">
        <v>24</v>
      </c>
      <c r="F187" s="2">
        <f>DATE(2025,2,27)+TIME(9,47,35)</f>
        <v>45715.40804398148</v>
      </c>
      <c r="G187" s="7" t="s">
        <v>38</v>
      </c>
      <c r="H187" s="11">
        <v>0</v>
      </c>
      <c r="I187" s="11">
        <v>0</v>
      </c>
      <c r="J187" s="7" t="s">
        <v>39</v>
      </c>
      <c r="K187" s="7" t="s">
        <v>40</v>
      </c>
      <c r="L187" s="7"/>
    </row>
    <row r="188" spans="1:12" ht="11.25">
      <c r="A188" s="12" t="s">
        <v>535</v>
      </c>
      <c r="B188" s="8" t="s">
        <v>536</v>
      </c>
      <c r="C188" s="8" t="s">
        <v>537</v>
      </c>
      <c r="D188" s="8" t="s">
        <v>37</v>
      </c>
      <c r="E188" s="8" t="s">
        <v>23</v>
      </c>
      <c r="F188" s="4">
        <f>DATE(2025,1,19)+TIME(14,57,42)</f>
        <v>45676.623402777775</v>
      </c>
      <c r="G188" s="8" t="s">
        <v>236</v>
      </c>
      <c r="H188" s="13">
        <v>0</v>
      </c>
      <c r="I188" s="13">
        <v>450</v>
      </c>
      <c r="J188" s="8" t="s">
        <v>39</v>
      </c>
      <c r="K188" s="8" t="s">
        <v>40</v>
      </c>
      <c r="L188" s="8"/>
    </row>
    <row r="189" spans="1:12" ht="11.25">
      <c r="A189" s="10" t="s">
        <v>538</v>
      </c>
      <c r="B189" s="7" t="s">
        <v>539</v>
      </c>
      <c r="C189" s="7" t="s">
        <v>537</v>
      </c>
      <c r="D189" s="7" t="s">
        <v>37</v>
      </c>
      <c r="E189" s="7" t="s">
        <v>23</v>
      </c>
      <c r="F189" s="2">
        <f>DATE(2025,1,22)+TIME(12,12,9)</f>
        <v>45679.5084375</v>
      </c>
      <c r="G189" s="7" t="s">
        <v>236</v>
      </c>
      <c r="H189" s="11">
        <v>0</v>
      </c>
      <c r="I189" s="11">
        <v>450</v>
      </c>
      <c r="J189" s="7" t="s">
        <v>39</v>
      </c>
      <c r="K189" s="7" t="s">
        <v>40</v>
      </c>
      <c r="L189" s="7"/>
    </row>
    <row r="190" spans="1:12" ht="11.25">
      <c r="A190" s="12" t="s">
        <v>540</v>
      </c>
      <c r="B190" s="8" t="s">
        <v>541</v>
      </c>
      <c r="C190" s="8" t="s">
        <v>64</v>
      </c>
      <c r="D190" s="8" t="s">
        <v>37</v>
      </c>
      <c r="E190" s="8" t="s">
        <v>23</v>
      </c>
      <c r="F190" s="4">
        <f>DATE(2025,3,18)+TIME(16,18,55)</f>
        <v>45734.67980324074</v>
      </c>
      <c r="G190" s="8" t="s">
        <v>38</v>
      </c>
      <c r="H190" s="13">
        <v>550</v>
      </c>
      <c r="I190" s="13">
        <v>550</v>
      </c>
      <c r="J190" s="8" t="s">
        <v>39</v>
      </c>
      <c r="K190" s="8" t="s">
        <v>40</v>
      </c>
      <c r="L190" s="8"/>
    </row>
    <row r="191" spans="1:12" ht="11.25">
      <c r="A191" s="10" t="s">
        <v>542</v>
      </c>
      <c r="B191" s="7" t="s">
        <v>543</v>
      </c>
      <c r="C191" s="7" t="s">
        <v>123</v>
      </c>
      <c r="D191" s="7" t="s">
        <v>37</v>
      </c>
      <c r="E191" s="7" t="s">
        <v>26</v>
      </c>
      <c r="F191" s="2">
        <f>DATE(2025,2,10)+TIME(18,40,15)</f>
        <v>45698.77795138889</v>
      </c>
      <c r="G191" s="7" t="s">
        <v>38</v>
      </c>
      <c r="H191" s="11">
        <v>0</v>
      </c>
      <c r="I191" s="11">
        <v>0</v>
      </c>
      <c r="J191" s="7" t="s">
        <v>39</v>
      </c>
      <c r="K191" s="7" t="s">
        <v>40</v>
      </c>
      <c r="L191" s="7"/>
    </row>
    <row r="192" spans="1:12" ht="11.25">
      <c r="A192" s="12" t="s">
        <v>544</v>
      </c>
      <c r="B192" s="8" t="s">
        <v>545</v>
      </c>
      <c r="C192" s="8" t="s">
        <v>546</v>
      </c>
      <c r="D192" s="8" t="s">
        <v>37</v>
      </c>
      <c r="E192" s="8" t="s">
        <v>23</v>
      </c>
      <c r="F192" s="4">
        <f>DATE(2025,1,31)+TIME(14,15,42)</f>
        <v>45688.59423611111</v>
      </c>
      <c r="G192" s="8" t="s">
        <v>38</v>
      </c>
      <c r="H192" s="13">
        <v>450</v>
      </c>
      <c r="I192" s="13">
        <v>450</v>
      </c>
      <c r="J192" s="8" t="s">
        <v>39</v>
      </c>
      <c r="K192" s="8" t="s">
        <v>40</v>
      </c>
      <c r="L192" s="8"/>
    </row>
    <row r="193" spans="1:12" ht="11.25">
      <c r="A193" s="10" t="s">
        <v>547</v>
      </c>
      <c r="B193" s="7" t="s">
        <v>548</v>
      </c>
      <c r="C193" s="7" t="s">
        <v>54</v>
      </c>
      <c r="D193" s="7" t="s">
        <v>37</v>
      </c>
      <c r="E193" s="7" t="s">
        <v>25</v>
      </c>
      <c r="F193" s="2">
        <f>DATE(2025,4,11)+TIME(11,7,47)</f>
        <v>45758.463738425926</v>
      </c>
      <c r="G193" s="7" t="s">
        <v>38</v>
      </c>
      <c r="H193" s="11">
        <v>0</v>
      </c>
      <c r="I193" s="11">
        <v>150</v>
      </c>
      <c r="J193" s="7" t="s">
        <v>39</v>
      </c>
      <c r="K193" s="7" t="s">
        <v>40</v>
      </c>
      <c r="L193" s="7" t="s">
        <v>38</v>
      </c>
    </row>
    <row r="194" spans="1:12" ht="11.25">
      <c r="A194" s="12" t="s">
        <v>549</v>
      </c>
      <c r="B194" s="8" t="s">
        <v>550</v>
      </c>
      <c r="C194" s="8" t="s">
        <v>551</v>
      </c>
      <c r="D194" s="8" t="s">
        <v>37</v>
      </c>
      <c r="E194" s="8" t="s">
        <v>27</v>
      </c>
      <c r="F194" s="4">
        <f>DATE(2025,4,12)+TIME(11,21,52)</f>
        <v>45759.47351851852</v>
      </c>
      <c r="G194" s="8" t="s">
        <v>81</v>
      </c>
      <c r="H194" s="13">
        <v>0</v>
      </c>
      <c r="I194" s="13">
        <v>350</v>
      </c>
      <c r="J194" s="8" t="s">
        <v>39</v>
      </c>
      <c r="K194" s="8" t="s">
        <v>40</v>
      </c>
      <c r="L194" s="8"/>
    </row>
    <row r="195" spans="1:12" ht="11.25">
      <c r="A195" s="10" t="s">
        <v>552</v>
      </c>
      <c r="B195" s="7" t="s">
        <v>553</v>
      </c>
      <c r="C195" s="7" t="s">
        <v>554</v>
      </c>
      <c r="D195" s="7" t="s">
        <v>37</v>
      </c>
      <c r="E195" s="7" t="s">
        <v>23</v>
      </c>
      <c r="F195" s="2">
        <f>DATE(2025,4,11)+TIME(18,1,39)</f>
        <v>45758.75114583333</v>
      </c>
      <c r="G195" s="7" t="s">
        <v>38</v>
      </c>
      <c r="H195" s="11">
        <v>100</v>
      </c>
      <c r="I195" s="11">
        <v>100</v>
      </c>
      <c r="J195" s="7" t="s">
        <v>39</v>
      </c>
      <c r="K195" s="7" t="s">
        <v>48</v>
      </c>
      <c r="L195" s="7"/>
    </row>
    <row r="196" spans="1:12" ht="11.25">
      <c r="A196" s="12" t="s">
        <v>555</v>
      </c>
      <c r="B196" s="8" t="s">
        <v>556</v>
      </c>
      <c r="C196" s="8" t="s">
        <v>557</v>
      </c>
      <c r="D196" s="8" t="s">
        <v>37</v>
      </c>
      <c r="E196" s="8" t="s">
        <v>24</v>
      </c>
      <c r="F196" s="4">
        <f>DATE(2025,3,14)+TIME(19,39,23)</f>
        <v>45730.819016203706</v>
      </c>
      <c r="G196" s="8" t="s">
        <v>38</v>
      </c>
      <c r="H196" s="13">
        <v>0</v>
      </c>
      <c r="I196" s="13">
        <v>0</v>
      </c>
      <c r="J196" s="8" t="s">
        <v>39</v>
      </c>
      <c r="K196" s="8" t="s">
        <v>40</v>
      </c>
      <c r="L196" s="8"/>
    </row>
    <row r="197" spans="1:12" ht="11.25">
      <c r="A197" s="10" t="s">
        <v>558</v>
      </c>
      <c r="B197" s="7" t="s">
        <v>559</v>
      </c>
      <c r="C197" s="7" t="s">
        <v>560</v>
      </c>
      <c r="D197" s="7" t="s">
        <v>37</v>
      </c>
      <c r="E197" s="7" t="s">
        <v>29</v>
      </c>
      <c r="F197" s="2">
        <f>DATE(2025,2,24)+TIME(17,15,26)</f>
        <v>45712.71905092592</v>
      </c>
      <c r="G197" s="7" t="s">
        <v>38</v>
      </c>
      <c r="H197" s="11">
        <v>0</v>
      </c>
      <c r="I197" s="11">
        <v>0</v>
      </c>
      <c r="J197" s="7" t="s">
        <v>39</v>
      </c>
      <c r="K197" s="7" t="s">
        <v>40</v>
      </c>
      <c r="L197" s="7" t="s">
        <v>38</v>
      </c>
    </row>
    <row r="198" spans="1:12" ht="11.25">
      <c r="A198" s="12" t="s">
        <v>561</v>
      </c>
      <c r="B198" s="8" t="s">
        <v>562</v>
      </c>
      <c r="C198" s="8" t="s">
        <v>563</v>
      </c>
      <c r="D198" s="8" t="s">
        <v>37</v>
      </c>
      <c r="E198" s="8" t="s">
        <v>23</v>
      </c>
      <c r="F198" s="4">
        <f>DATE(2025,4,10)+TIME(11,59,5)</f>
        <v>45757.49936342592</v>
      </c>
      <c r="G198" s="8" t="s">
        <v>38</v>
      </c>
      <c r="H198" s="13">
        <v>0</v>
      </c>
      <c r="I198" s="13">
        <v>550</v>
      </c>
      <c r="J198" s="8" t="s">
        <v>39</v>
      </c>
      <c r="K198" s="8" t="s">
        <v>40</v>
      </c>
      <c r="L198" s="8"/>
    </row>
    <row r="199" spans="1:12" ht="11.25">
      <c r="A199" s="10" t="s">
        <v>564</v>
      </c>
      <c r="B199" s="7" t="s">
        <v>565</v>
      </c>
      <c r="C199" s="7" t="s">
        <v>566</v>
      </c>
      <c r="D199" s="7" t="s">
        <v>37</v>
      </c>
      <c r="E199" s="7" t="s">
        <v>23</v>
      </c>
      <c r="F199" s="2">
        <f>DATE(2025,4,2)+TIME(8,40,51)</f>
        <v>45749.36170138889</v>
      </c>
      <c r="G199" s="7" t="s">
        <v>567</v>
      </c>
      <c r="H199" s="11">
        <v>100</v>
      </c>
      <c r="I199" s="11">
        <v>100</v>
      </c>
      <c r="J199" s="7" t="s">
        <v>39</v>
      </c>
      <c r="K199" s="7" t="s">
        <v>48</v>
      </c>
      <c r="L199" s="7"/>
    </row>
    <row r="200" spans="1:12" ht="11.25">
      <c r="A200" s="12" t="s">
        <v>568</v>
      </c>
      <c r="B200" s="8" t="s">
        <v>569</v>
      </c>
      <c r="C200" s="8" t="s">
        <v>148</v>
      </c>
      <c r="D200" s="8" t="s">
        <v>37</v>
      </c>
      <c r="E200" s="8" t="s">
        <v>26</v>
      </c>
      <c r="F200" s="4">
        <f>DATE(2024,11,20)+TIME(11,16,43)</f>
        <v>45616.46994212963</v>
      </c>
      <c r="G200" s="8" t="s">
        <v>38</v>
      </c>
      <c r="H200" s="13">
        <v>0</v>
      </c>
      <c r="I200" s="13">
        <v>0</v>
      </c>
      <c r="J200" s="8" t="s">
        <v>39</v>
      </c>
      <c r="K200" s="8" t="s">
        <v>40</v>
      </c>
      <c r="L200" s="8"/>
    </row>
    <row r="201" spans="1:12" ht="11.25">
      <c r="A201" s="10" t="s">
        <v>568</v>
      </c>
      <c r="B201" s="7" t="s">
        <v>570</v>
      </c>
      <c r="C201" s="7" t="s">
        <v>95</v>
      </c>
      <c r="D201" s="7" t="s">
        <v>37</v>
      </c>
      <c r="E201" s="7" t="s">
        <v>26</v>
      </c>
      <c r="F201" s="2">
        <f>DATE(2025,3,31)+TIME(15,32,27)</f>
        <v>45747.64753472222</v>
      </c>
      <c r="G201" s="7" t="s">
        <v>38</v>
      </c>
      <c r="H201" s="11">
        <v>0</v>
      </c>
      <c r="I201" s="11">
        <v>0</v>
      </c>
      <c r="J201" s="7" t="s">
        <v>39</v>
      </c>
      <c r="K201" s="7" t="s">
        <v>40</v>
      </c>
      <c r="L201" s="7"/>
    </row>
    <row r="202" spans="1:12" ht="11.25">
      <c r="A202" s="12" t="s">
        <v>571</v>
      </c>
      <c r="B202" s="8" t="s">
        <v>572</v>
      </c>
      <c r="C202" s="8" t="s">
        <v>573</v>
      </c>
      <c r="D202" s="8" t="s">
        <v>37</v>
      </c>
      <c r="E202" s="8" t="s">
        <v>24</v>
      </c>
      <c r="F202" s="4">
        <f>DATE(2025,3,11)+TIME(9,26,57)</f>
        <v>45727.39371527778</v>
      </c>
      <c r="G202" s="8" t="s">
        <v>38</v>
      </c>
      <c r="H202" s="13">
        <v>0</v>
      </c>
      <c r="I202" s="13">
        <v>0</v>
      </c>
      <c r="J202" s="8" t="s">
        <v>39</v>
      </c>
      <c r="K202" s="8" t="s">
        <v>40</v>
      </c>
      <c r="L202" s="8" t="s">
        <v>38</v>
      </c>
    </row>
    <row r="203" spans="1:12" ht="11.25">
      <c r="A203" s="10" t="s">
        <v>574</v>
      </c>
      <c r="B203" s="7" t="s">
        <v>575</v>
      </c>
      <c r="C203" s="7" t="s">
        <v>140</v>
      </c>
      <c r="D203" s="7" t="s">
        <v>37</v>
      </c>
      <c r="E203" s="7" t="s">
        <v>23</v>
      </c>
      <c r="F203" s="2">
        <f>DATE(2025,2,27)+TIME(14,45,10)</f>
        <v>45715.614699074074</v>
      </c>
      <c r="G203" s="7" t="s">
        <v>38</v>
      </c>
      <c r="H203" s="11">
        <v>450</v>
      </c>
      <c r="I203" s="11">
        <v>450</v>
      </c>
      <c r="J203" s="7" t="s">
        <v>39</v>
      </c>
      <c r="K203" s="7" t="s">
        <v>40</v>
      </c>
      <c r="L203" s="7"/>
    </row>
    <row r="204" spans="1:12" ht="11.25">
      <c r="A204" s="12" t="s">
        <v>576</v>
      </c>
      <c r="B204" s="8" t="s">
        <v>577</v>
      </c>
      <c r="C204" s="8" t="s">
        <v>578</v>
      </c>
      <c r="D204" s="8" t="s">
        <v>37</v>
      </c>
      <c r="E204" s="8" t="s">
        <v>26</v>
      </c>
      <c r="F204" s="4">
        <f>DATE(2024,11,19)+TIME(15,57,16)</f>
        <v>45615.664768518516</v>
      </c>
      <c r="G204" s="8" t="s">
        <v>38</v>
      </c>
      <c r="H204" s="13">
        <v>0</v>
      </c>
      <c r="I204" s="13">
        <v>0</v>
      </c>
      <c r="J204" s="8" t="s">
        <v>39</v>
      </c>
      <c r="K204" s="8" t="s">
        <v>40</v>
      </c>
      <c r="L204" s="8"/>
    </row>
    <row r="205" spans="1:12" ht="11.25">
      <c r="A205" s="10" t="s">
        <v>579</v>
      </c>
      <c r="B205" s="7" t="s">
        <v>580</v>
      </c>
      <c r="C205" s="7" t="s">
        <v>581</v>
      </c>
      <c r="D205" s="7" t="s">
        <v>37</v>
      </c>
      <c r="E205" s="7" t="s">
        <v>23</v>
      </c>
      <c r="F205" s="2">
        <f>DATE(2025,3,18)+TIME(16,40,48)</f>
        <v>45734.695</v>
      </c>
      <c r="G205" s="7" t="s">
        <v>38</v>
      </c>
      <c r="H205" s="11">
        <v>100</v>
      </c>
      <c r="I205" s="11">
        <v>100</v>
      </c>
      <c r="J205" s="7" t="s">
        <v>39</v>
      </c>
      <c r="K205" s="7" t="s">
        <v>48</v>
      </c>
      <c r="L205" s="7"/>
    </row>
    <row r="206" spans="1:12" ht="11.25">
      <c r="A206" s="12" t="s">
        <v>582</v>
      </c>
      <c r="B206" s="8" t="s">
        <v>583</v>
      </c>
      <c r="C206" s="8" t="s">
        <v>61</v>
      </c>
      <c r="D206" s="8" t="s">
        <v>37</v>
      </c>
      <c r="E206" s="8" t="s">
        <v>30</v>
      </c>
      <c r="F206" s="4">
        <f>DATE(2025,1,23)+TIME(13,20,1)</f>
        <v>45680.55556712963</v>
      </c>
      <c r="G206" s="8" t="s">
        <v>38</v>
      </c>
      <c r="H206" s="13">
        <v>0</v>
      </c>
      <c r="I206" s="13">
        <v>0</v>
      </c>
      <c r="J206" s="8" t="s">
        <v>39</v>
      </c>
      <c r="K206" s="8" t="s">
        <v>40</v>
      </c>
      <c r="L206" s="8" t="s">
        <v>38</v>
      </c>
    </row>
    <row r="207" spans="1:12" ht="11.25">
      <c r="A207" s="10" t="s">
        <v>584</v>
      </c>
      <c r="B207" s="7" t="s">
        <v>585</v>
      </c>
      <c r="C207" s="7" t="s">
        <v>95</v>
      </c>
      <c r="D207" s="7" t="s">
        <v>37</v>
      </c>
      <c r="E207" s="7" t="s">
        <v>29</v>
      </c>
      <c r="F207" s="2">
        <f>DATE(2025,2,18)+TIME(15,37,3)</f>
        <v>45706.650729166664</v>
      </c>
      <c r="G207" s="7" t="s">
        <v>38</v>
      </c>
      <c r="H207" s="11">
        <v>0</v>
      </c>
      <c r="I207" s="11">
        <v>0</v>
      </c>
      <c r="J207" s="7" t="s">
        <v>39</v>
      </c>
      <c r="K207" s="7" t="s">
        <v>40</v>
      </c>
      <c r="L207" s="7" t="s">
        <v>38</v>
      </c>
    </row>
    <row r="208" spans="1:12" ht="11.25">
      <c r="A208" s="12" t="s">
        <v>586</v>
      </c>
      <c r="B208" s="8" t="s">
        <v>587</v>
      </c>
      <c r="C208" s="8" t="s">
        <v>205</v>
      </c>
      <c r="D208" s="8" t="s">
        <v>37</v>
      </c>
      <c r="E208" s="8" t="s">
        <v>26</v>
      </c>
      <c r="F208" s="4">
        <f>DATE(2025,2,5)+TIME(15,30,57)</f>
        <v>45693.64649305555</v>
      </c>
      <c r="G208" s="8" t="s">
        <v>38</v>
      </c>
      <c r="H208" s="13">
        <v>0</v>
      </c>
      <c r="I208" s="13">
        <v>0</v>
      </c>
      <c r="J208" s="8" t="s">
        <v>39</v>
      </c>
      <c r="K208" s="8" t="s">
        <v>40</v>
      </c>
      <c r="L208" s="8"/>
    </row>
    <row r="209" spans="1:12" ht="11.25">
      <c r="A209" s="10" t="s">
        <v>588</v>
      </c>
      <c r="B209" s="7" t="s">
        <v>589</v>
      </c>
      <c r="C209" s="7" t="s">
        <v>590</v>
      </c>
      <c r="D209" s="7" t="s">
        <v>37</v>
      </c>
      <c r="E209" s="7" t="s">
        <v>28</v>
      </c>
      <c r="F209" s="2">
        <f>DATE(2025,4,8)+TIME(11,54,29)</f>
        <v>45755.49616898148</v>
      </c>
      <c r="G209" s="7" t="s">
        <v>38</v>
      </c>
      <c r="H209" s="11">
        <v>0</v>
      </c>
      <c r="I209" s="11">
        <v>270</v>
      </c>
      <c r="J209" s="7" t="s">
        <v>39</v>
      </c>
      <c r="K209" s="7" t="s">
        <v>40</v>
      </c>
      <c r="L209" s="7"/>
    </row>
    <row r="210" spans="1:12" ht="11.25">
      <c r="A210" s="12" t="s">
        <v>591</v>
      </c>
      <c r="B210" s="8" t="s">
        <v>592</v>
      </c>
      <c r="C210" s="8" t="s">
        <v>593</v>
      </c>
      <c r="D210" s="8" t="s">
        <v>37</v>
      </c>
      <c r="E210" s="8" t="s">
        <v>27</v>
      </c>
      <c r="F210" s="4">
        <f>DATE(2025,4,14)+TIME(11,55,7)</f>
        <v>45761.4966087963</v>
      </c>
      <c r="G210" s="8" t="s">
        <v>81</v>
      </c>
      <c r="H210" s="13">
        <v>0</v>
      </c>
      <c r="I210" s="13">
        <v>350</v>
      </c>
      <c r="J210" s="8" t="s">
        <v>39</v>
      </c>
      <c r="K210" s="8" t="s">
        <v>40</v>
      </c>
      <c r="L210" s="8"/>
    </row>
    <row r="211" spans="1:12" ht="11.25">
      <c r="A211" s="10" t="s">
        <v>591</v>
      </c>
      <c r="B211" s="7" t="s">
        <v>594</v>
      </c>
      <c r="C211" s="7" t="s">
        <v>593</v>
      </c>
      <c r="D211" s="7" t="s">
        <v>37</v>
      </c>
      <c r="E211" s="7" t="s">
        <v>27</v>
      </c>
      <c r="F211" s="2">
        <f>DATE(2025,4,12)+TIME(16,44,56)</f>
        <v>45759.69787037037</v>
      </c>
      <c r="G211" s="7" t="s">
        <v>81</v>
      </c>
      <c r="H211" s="11">
        <v>0</v>
      </c>
      <c r="I211" s="11">
        <v>350</v>
      </c>
      <c r="J211" s="7" t="s">
        <v>39</v>
      </c>
      <c r="K211" s="7" t="s">
        <v>40</v>
      </c>
      <c r="L211" s="7"/>
    </row>
    <row r="212" spans="1:12" ht="11.25">
      <c r="A212" s="12" t="s">
        <v>595</v>
      </c>
      <c r="B212" s="8" t="s">
        <v>596</v>
      </c>
      <c r="C212" s="8" t="s">
        <v>597</v>
      </c>
      <c r="D212" s="8" t="s">
        <v>37</v>
      </c>
      <c r="E212" s="8" t="s">
        <v>24</v>
      </c>
      <c r="F212" s="4">
        <f>DATE(2025,1,23)+TIME(11,22,38)</f>
        <v>45680.47405092593</v>
      </c>
      <c r="G212" s="8" t="s">
        <v>38</v>
      </c>
      <c r="H212" s="13">
        <v>0</v>
      </c>
      <c r="I212" s="13">
        <v>0</v>
      </c>
      <c r="J212" s="8" t="s">
        <v>39</v>
      </c>
      <c r="K212" s="8" t="s">
        <v>40</v>
      </c>
      <c r="L212" s="8"/>
    </row>
    <row r="213" spans="1:12" ht="11.25">
      <c r="A213" s="10" t="s">
        <v>598</v>
      </c>
      <c r="B213" s="7" t="s">
        <v>599</v>
      </c>
      <c r="C213" s="7" t="s">
        <v>391</v>
      </c>
      <c r="D213" s="7" t="s">
        <v>37</v>
      </c>
      <c r="E213" s="7" t="s">
        <v>30</v>
      </c>
      <c r="F213" s="2">
        <f>DATE(2025,4,3)+TIME(14,10,8)</f>
        <v>45750.59037037037</v>
      </c>
      <c r="G213" s="7" t="s">
        <v>38</v>
      </c>
      <c r="H213" s="11">
        <v>0</v>
      </c>
      <c r="I213" s="11">
        <v>0</v>
      </c>
      <c r="J213" s="7" t="s">
        <v>39</v>
      </c>
      <c r="K213" s="7" t="s">
        <v>40</v>
      </c>
      <c r="L213" s="7"/>
    </row>
    <row r="214" spans="1:12" ht="11.25">
      <c r="A214" s="12" t="s">
        <v>600</v>
      </c>
      <c r="B214" s="8" t="s">
        <v>601</v>
      </c>
      <c r="C214" s="8" t="s">
        <v>602</v>
      </c>
      <c r="D214" s="8" t="s">
        <v>37</v>
      </c>
      <c r="E214" s="8" t="s">
        <v>23</v>
      </c>
      <c r="F214" s="4">
        <f>DATE(2025,2,28)+TIME(11,22,52)</f>
        <v>45716.47421296296</v>
      </c>
      <c r="G214" s="8" t="s">
        <v>38</v>
      </c>
      <c r="H214" s="13">
        <v>450</v>
      </c>
      <c r="I214" s="13">
        <v>450</v>
      </c>
      <c r="J214" s="8" t="s">
        <v>39</v>
      </c>
      <c r="K214" s="8" t="s">
        <v>40</v>
      </c>
      <c r="L214" s="8" t="s">
        <v>38</v>
      </c>
    </row>
    <row r="215" spans="1:12" ht="11.25">
      <c r="A215" s="10" t="s">
        <v>603</v>
      </c>
      <c r="B215" s="7" t="s">
        <v>604</v>
      </c>
      <c r="C215" s="7" t="s">
        <v>77</v>
      </c>
      <c r="D215" s="7" t="s">
        <v>37</v>
      </c>
      <c r="E215" s="7" t="s">
        <v>28</v>
      </c>
      <c r="F215" s="2">
        <f>DATE(2025,4,11)+TIME(16,45,17)</f>
        <v>45758.698113425926</v>
      </c>
      <c r="G215" s="7" t="s">
        <v>38</v>
      </c>
      <c r="H215" s="11">
        <v>100</v>
      </c>
      <c r="I215" s="11">
        <v>100</v>
      </c>
      <c r="J215" s="7" t="s">
        <v>39</v>
      </c>
      <c r="K215" s="7" t="s">
        <v>48</v>
      </c>
      <c r="L215" s="7"/>
    </row>
    <row r="216" spans="1:12" ht="11.25">
      <c r="A216" s="12" t="s">
        <v>605</v>
      </c>
      <c r="B216" s="8" t="s">
        <v>606</v>
      </c>
      <c r="C216" s="8" t="s">
        <v>607</v>
      </c>
      <c r="D216" s="8" t="s">
        <v>37</v>
      </c>
      <c r="E216" s="8" t="s">
        <v>23</v>
      </c>
      <c r="F216" s="4">
        <f>DATE(2025,2,2)+TIME(14,43,50)</f>
        <v>45690.61377314815</v>
      </c>
      <c r="G216" s="8" t="s">
        <v>38</v>
      </c>
      <c r="H216" s="13">
        <v>450</v>
      </c>
      <c r="I216" s="13">
        <v>450</v>
      </c>
      <c r="J216" s="8" t="s">
        <v>39</v>
      </c>
      <c r="K216" s="8" t="s">
        <v>40</v>
      </c>
      <c r="L216" s="8"/>
    </row>
    <row r="217" spans="1:12" ht="11.25">
      <c r="A217" s="10" t="s">
        <v>608</v>
      </c>
      <c r="B217" s="7" t="s">
        <v>609</v>
      </c>
      <c r="C217" s="7" t="s">
        <v>610</v>
      </c>
      <c r="D217" s="7" t="s">
        <v>37</v>
      </c>
      <c r="E217" s="7" t="s">
        <v>26</v>
      </c>
      <c r="F217" s="2">
        <f>DATE(2025,3,5)+TIME(8,25,43)</f>
        <v>45721.35119212963</v>
      </c>
      <c r="G217" s="7" t="s">
        <v>38</v>
      </c>
      <c r="H217" s="11">
        <v>0</v>
      </c>
      <c r="I217" s="11">
        <v>0</v>
      </c>
      <c r="J217" s="7" t="s">
        <v>39</v>
      </c>
      <c r="K217" s="7" t="s">
        <v>40</v>
      </c>
      <c r="L217" s="7"/>
    </row>
    <row r="218" spans="1:12" ht="11.25">
      <c r="A218" s="12" t="s">
        <v>611</v>
      </c>
      <c r="B218" s="8" t="s">
        <v>612</v>
      </c>
      <c r="C218" s="8" t="s">
        <v>123</v>
      </c>
      <c r="D218" s="8" t="s">
        <v>37</v>
      </c>
      <c r="E218" s="8" t="s">
        <v>25</v>
      </c>
      <c r="F218" s="4">
        <f>DATE(2025,4,10)+TIME(8,19,51)</f>
        <v>45757.34711805556</v>
      </c>
      <c r="G218" s="8" t="s">
        <v>38</v>
      </c>
      <c r="H218" s="13">
        <v>0</v>
      </c>
      <c r="I218" s="13">
        <v>150</v>
      </c>
      <c r="J218" s="8" t="s">
        <v>39</v>
      </c>
      <c r="K218" s="8" t="s">
        <v>40</v>
      </c>
      <c r="L218" s="8"/>
    </row>
    <row r="219" spans="1:12" ht="11.25">
      <c r="A219" s="10" t="s">
        <v>613</v>
      </c>
      <c r="B219" s="7" t="s">
        <v>614</v>
      </c>
      <c r="C219" s="7" t="s">
        <v>615</v>
      </c>
      <c r="D219" s="7" t="s">
        <v>37</v>
      </c>
      <c r="E219" s="7" t="s">
        <v>24</v>
      </c>
      <c r="F219" s="2">
        <f>DATE(2025,1,13)+TIME(14,26,15)</f>
        <v>45670.6015625</v>
      </c>
      <c r="G219" s="7" t="s">
        <v>38</v>
      </c>
      <c r="H219" s="11">
        <v>0</v>
      </c>
      <c r="I219" s="11">
        <v>0</v>
      </c>
      <c r="J219" s="7" t="s">
        <v>39</v>
      </c>
      <c r="K219" s="7" t="s">
        <v>40</v>
      </c>
      <c r="L219" s="7"/>
    </row>
    <row r="220" spans="1:12" ht="11.25">
      <c r="A220" s="12" t="s">
        <v>616</v>
      </c>
      <c r="B220" s="8" t="s">
        <v>617</v>
      </c>
      <c r="C220" s="8" t="s">
        <v>618</v>
      </c>
      <c r="D220" s="8" t="s">
        <v>37</v>
      </c>
      <c r="E220" s="8" t="s">
        <v>23</v>
      </c>
      <c r="F220" s="4">
        <f>DATE(2025,1,27)+TIME(10,21,53)</f>
        <v>45684.431863425925</v>
      </c>
      <c r="G220" s="8" t="s">
        <v>38</v>
      </c>
      <c r="H220" s="13">
        <v>450</v>
      </c>
      <c r="I220" s="13">
        <v>450</v>
      </c>
      <c r="J220" s="8" t="s">
        <v>39</v>
      </c>
      <c r="K220" s="8" t="s">
        <v>40</v>
      </c>
      <c r="L220" s="8"/>
    </row>
    <row r="221" spans="1:12" ht="11.25">
      <c r="A221" s="10" t="s">
        <v>619</v>
      </c>
      <c r="B221" s="7" t="s">
        <v>620</v>
      </c>
      <c r="C221" s="7" t="s">
        <v>621</v>
      </c>
      <c r="D221" s="7" t="s">
        <v>37</v>
      </c>
      <c r="E221" s="7" t="s">
        <v>28</v>
      </c>
      <c r="F221" s="2">
        <f>DATE(2025,3,4)+TIME(10,17,35)</f>
        <v>45720.428877314815</v>
      </c>
      <c r="G221" s="7" t="s">
        <v>38</v>
      </c>
      <c r="H221" s="11">
        <v>0</v>
      </c>
      <c r="I221" s="11">
        <v>470</v>
      </c>
      <c r="J221" s="7" t="s">
        <v>39</v>
      </c>
      <c r="K221" s="7" t="s">
        <v>40</v>
      </c>
      <c r="L221" s="7" t="s">
        <v>38</v>
      </c>
    </row>
    <row r="222" spans="1:12" ht="11.25">
      <c r="A222" s="12" t="s">
        <v>622</v>
      </c>
      <c r="B222" s="8" t="s">
        <v>623</v>
      </c>
      <c r="C222" s="8" t="s">
        <v>624</v>
      </c>
      <c r="D222" s="8" t="s">
        <v>37</v>
      </c>
      <c r="E222" s="8" t="s">
        <v>23</v>
      </c>
      <c r="F222" s="4">
        <f>DATE(2025,2,2)+TIME(15,10,32)</f>
        <v>45690.632314814815</v>
      </c>
      <c r="G222" s="8" t="s">
        <v>38</v>
      </c>
      <c r="H222" s="13">
        <v>450</v>
      </c>
      <c r="I222" s="13">
        <v>450</v>
      </c>
      <c r="J222" s="8" t="s">
        <v>39</v>
      </c>
      <c r="K222" s="8" t="s">
        <v>40</v>
      </c>
      <c r="L222" s="8"/>
    </row>
    <row r="223" spans="1:12" ht="11.25">
      <c r="A223" s="10" t="s">
        <v>625</v>
      </c>
      <c r="B223" s="7" t="s">
        <v>626</v>
      </c>
      <c r="C223" s="7" t="s">
        <v>627</v>
      </c>
      <c r="D223" s="7" t="s">
        <v>37</v>
      </c>
      <c r="E223" s="7" t="s">
        <v>26</v>
      </c>
      <c r="F223" s="2">
        <f>DATE(2025,4,1)+TIME(18,10,10)</f>
        <v>45748.757060185184</v>
      </c>
      <c r="G223" s="7" t="s">
        <v>173</v>
      </c>
      <c r="H223" s="11">
        <v>0</v>
      </c>
      <c r="I223" s="11">
        <v>0</v>
      </c>
      <c r="J223" s="7" t="s">
        <v>39</v>
      </c>
      <c r="K223" s="7" t="s">
        <v>40</v>
      </c>
      <c r="L223" s="7"/>
    </row>
    <row r="224" spans="1:12" ht="11.25">
      <c r="A224" s="12" t="s">
        <v>628</v>
      </c>
      <c r="B224" s="8" t="s">
        <v>629</v>
      </c>
      <c r="C224" s="8" t="s">
        <v>630</v>
      </c>
      <c r="D224" s="8" t="s">
        <v>37</v>
      </c>
      <c r="E224" s="8" t="s">
        <v>30</v>
      </c>
      <c r="F224" s="4">
        <f>DATE(2025,3,11)+TIME(11,34,42)</f>
        <v>45727.48243055555</v>
      </c>
      <c r="G224" s="8" t="s">
        <v>154</v>
      </c>
      <c r="H224" s="13">
        <v>0</v>
      </c>
      <c r="I224" s="13">
        <v>0</v>
      </c>
      <c r="J224" s="8" t="s">
        <v>39</v>
      </c>
      <c r="K224" s="8" t="s">
        <v>40</v>
      </c>
      <c r="L224" s="8"/>
    </row>
    <row r="225" spans="1:12" ht="11.25">
      <c r="A225" s="10" t="s">
        <v>631</v>
      </c>
      <c r="B225" s="7" t="s">
        <v>632</v>
      </c>
      <c r="C225" s="7" t="s">
        <v>633</v>
      </c>
      <c r="D225" s="7" t="s">
        <v>37</v>
      </c>
      <c r="E225" s="7" t="s">
        <v>30</v>
      </c>
      <c r="F225" s="2">
        <f>DATE(2025,4,8)+TIME(22,17,39)</f>
        <v>45755.928923611114</v>
      </c>
      <c r="G225" s="7" t="s">
        <v>38</v>
      </c>
      <c r="H225" s="11"/>
      <c r="I225" s="11"/>
      <c r="J225" s="7" t="s">
        <v>39</v>
      </c>
      <c r="K225" s="7" t="s">
        <v>48</v>
      </c>
      <c r="L225" s="7"/>
    </row>
    <row r="226" spans="1:12" ht="11.25">
      <c r="A226" s="12" t="s">
        <v>634</v>
      </c>
      <c r="B226" s="8" t="s">
        <v>635</v>
      </c>
      <c r="C226" s="8" t="s">
        <v>54</v>
      </c>
      <c r="D226" s="8" t="s">
        <v>37</v>
      </c>
      <c r="E226" s="8" t="s">
        <v>25</v>
      </c>
      <c r="F226" s="4">
        <f>DATE(2025,4,9)+TIME(14,32,58)</f>
        <v>45756.60622685185</v>
      </c>
      <c r="G226" s="8" t="s">
        <v>38</v>
      </c>
      <c r="H226" s="13">
        <v>0</v>
      </c>
      <c r="I226" s="13">
        <v>150</v>
      </c>
      <c r="J226" s="8" t="s">
        <v>39</v>
      </c>
      <c r="K226" s="8" t="s">
        <v>40</v>
      </c>
      <c r="L226" s="8"/>
    </row>
    <row r="227" spans="1:12" ht="11.25">
      <c r="A227" s="10" t="s">
        <v>636</v>
      </c>
      <c r="B227" s="7" t="s">
        <v>637</v>
      </c>
      <c r="C227" s="7" t="s">
        <v>95</v>
      </c>
      <c r="D227" s="7" t="s">
        <v>37</v>
      </c>
      <c r="E227" s="7" t="s">
        <v>26</v>
      </c>
      <c r="F227" s="2">
        <f>DATE(2024,11,22)+TIME(9,40,46)</f>
        <v>45618.40331018518</v>
      </c>
      <c r="G227" s="7" t="s">
        <v>38</v>
      </c>
      <c r="H227" s="11">
        <v>0</v>
      </c>
      <c r="I227" s="11">
        <v>0</v>
      </c>
      <c r="J227" s="7" t="s">
        <v>39</v>
      </c>
      <c r="K227" s="7" t="s">
        <v>40</v>
      </c>
      <c r="L227" s="7"/>
    </row>
    <row r="228" spans="1:12" ht="11.25">
      <c r="A228" s="12" t="s">
        <v>638</v>
      </c>
      <c r="B228" s="8" t="s">
        <v>639</v>
      </c>
      <c r="C228" s="8" t="s">
        <v>95</v>
      </c>
      <c r="D228" s="8" t="s">
        <v>37</v>
      </c>
      <c r="E228" s="8" t="s">
        <v>26</v>
      </c>
      <c r="F228" s="4">
        <f>DATE(2024,11,19)+TIME(15,56,16)</f>
        <v>45615.66407407408</v>
      </c>
      <c r="G228" s="8" t="s">
        <v>38</v>
      </c>
      <c r="H228" s="13">
        <v>0</v>
      </c>
      <c r="I228" s="13">
        <v>0</v>
      </c>
      <c r="J228" s="8" t="s">
        <v>39</v>
      </c>
      <c r="K228" s="8" t="s">
        <v>40</v>
      </c>
      <c r="L228" s="8"/>
    </row>
    <row r="229" spans="1:12" ht="11.25">
      <c r="A229" s="10" t="s">
        <v>640</v>
      </c>
      <c r="B229" s="7" t="s">
        <v>641</v>
      </c>
      <c r="C229" s="7" t="s">
        <v>642</v>
      </c>
      <c r="D229" s="7" t="s">
        <v>37</v>
      </c>
      <c r="E229" s="7" t="s">
        <v>23</v>
      </c>
      <c r="F229" s="2">
        <f>DATE(2025,3,20)+TIME(8,32,25)</f>
        <v>45736.355844907404</v>
      </c>
      <c r="G229" s="7" t="s">
        <v>643</v>
      </c>
      <c r="H229" s="11">
        <v>0</v>
      </c>
      <c r="I229" s="11">
        <v>650</v>
      </c>
      <c r="J229" s="7" t="s">
        <v>39</v>
      </c>
      <c r="K229" s="7" t="s">
        <v>40</v>
      </c>
      <c r="L229" s="7"/>
    </row>
    <row r="230" spans="1:12" ht="11.25">
      <c r="A230" s="12" t="s">
        <v>644</v>
      </c>
      <c r="B230" s="8" t="s">
        <v>645</v>
      </c>
      <c r="C230" s="8" t="s">
        <v>67</v>
      </c>
      <c r="D230" s="8" t="s">
        <v>37</v>
      </c>
      <c r="E230" s="8" t="s">
        <v>24</v>
      </c>
      <c r="F230" s="4">
        <f>DATE(2025,3,10)+TIME(9,53,12)</f>
        <v>45726.411944444444</v>
      </c>
      <c r="G230" s="8" t="s">
        <v>38</v>
      </c>
      <c r="H230" s="13">
        <v>0</v>
      </c>
      <c r="I230" s="13">
        <v>0</v>
      </c>
      <c r="J230" s="8" t="s">
        <v>39</v>
      </c>
      <c r="K230" s="8" t="s">
        <v>40</v>
      </c>
      <c r="L230" s="8"/>
    </row>
    <row r="231" spans="1:12" ht="11.25">
      <c r="A231" s="10" t="s">
        <v>646</v>
      </c>
      <c r="B231" s="7" t="s">
        <v>647</v>
      </c>
      <c r="C231" s="7" t="s">
        <v>648</v>
      </c>
      <c r="D231" s="7" t="s">
        <v>37</v>
      </c>
      <c r="E231" s="7" t="s">
        <v>23</v>
      </c>
      <c r="F231" s="2">
        <f>DATE(2025,3,19)+TIME(13,50,33)</f>
        <v>45735.57677083334</v>
      </c>
      <c r="G231" s="7" t="s">
        <v>38</v>
      </c>
      <c r="H231" s="11">
        <v>550</v>
      </c>
      <c r="I231" s="11">
        <v>550</v>
      </c>
      <c r="J231" s="7" t="s">
        <v>39</v>
      </c>
      <c r="K231" s="7" t="s">
        <v>40</v>
      </c>
      <c r="L231" s="7"/>
    </row>
    <row r="232" spans="1:12" ht="11.25">
      <c r="A232" s="12" t="s">
        <v>649</v>
      </c>
      <c r="B232" s="8" t="s">
        <v>650</v>
      </c>
      <c r="C232" s="8" t="s">
        <v>205</v>
      </c>
      <c r="D232" s="8" t="s">
        <v>37</v>
      </c>
      <c r="E232" s="8" t="s">
        <v>26</v>
      </c>
      <c r="F232" s="4">
        <f>DATE(2025,3,7)+TIME(10,18,57)</f>
        <v>45723.42982638889</v>
      </c>
      <c r="G232" s="8" t="s">
        <v>38</v>
      </c>
      <c r="H232" s="13">
        <v>0</v>
      </c>
      <c r="I232" s="13">
        <v>0</v>
      </c>
      <c r="J232" s="8" t="s">
        <v>39</v>
      </c>
      <c r="K232" s="8" t="s">
        <v>40</v>
      </c>
      <c r="L232" s="8"/>
    </row>
    <row r="233" spans="1:12" ht="11.25">
      <c r="A233" s="10" t="s">
        <v>651</v>
      </c>
      <c r="B233" s="7" t="s">
        <v>652</v>
      </c>
      <c r="C233" s="7" t="s">
        <v>653</v>
      </c>
      <c r="D233" s="7" t="s">
        <v>37</v>
      </c>
      <c r="E233" s="7" t="s">
        <v>30</v>
      </c>
      <c r="F233" s="2">
        <f>DATE(2025,4,2)+TIME(14,56,4)</f>
        <v>45749.62226851852</v>
      </c>
      <c r="G233" s="7" t="s">
        <v>654</v>
      </c>
      <c r="H233" s="11">
        <v>0</v>
      </c>
      <c r="I233" s="11">
        <v>0</v>
      </c>
      <c r="J233" s="7" t="s">
        <v>39</v>
      </c>
      <c r="K233" s="7" t="s">
        <v>40</v>
      </c>
      <c r="L233" s="7"/>
    </row>
    <row r="234" spans="1:12" ht="11.25">
      <c r="A234" s="12" t="s">
        <v>655</v>
      </c>
      <c r="B234" s="8" t="s">
        <v>656</v>
      </c>
      <c r="C234" s="8" t="s">
        <v>104</v>
      </c>
      <c r="D234" s="8" t="s">
        <v>37</v>
      </c>
      <c r="E234" s="8" t="s">
        <v>27</v>
      </c>
      <c r="F234" s="4">
        <f>DATE(2025,4,13)+TIME(16,50,50)</f>
        <v>45760.70196759259</v>
      </c>
      <c r="G234" s="8" t="s">
        <v>81</v>
      </c>
      <c r="H234" s="13">
        <v>0</v>
      </c>
      <c r="I234" s="13">
        <v>470</v>
      </c>
      <c r="J234" s="8" t="s">
        <v>39</v>
      </c>
      <c r="K234" s="8" t="s">
        <v>40</v>
      </c>
      <c r="L234" s="8"/>
    </row>
    <row r="235" spans="1:12" ht="11.25">
      <c r="A235" s="10" t="s">
        <v>657</v>
      </c>
      <c r="B235" s="7" t="s">
        <v>658</v>
      </c>
      <c r="C235" s="7" t="s">
        <v>659</v>
      </c>
      <c r="D235" s="7" t="s">
        <v>37</v>
      </c>
      <c r="E235" s="7" t="s">
        <v>24</v>
      </c>
      <c r="F235" s="2">
        <f>DATE(2025,4,1)+TIME(17,44,55)</f>
        <v>45748.73952546297</v>
      </c>
      <c r="G235" s="7" t="s">
        <v>38</v>
      </c>
      <c r="H235" s="11">
        <v>0</v>
      </c>
      <c r="I235" s="11">
        <v>0</v>
      </c>
      <c r="J235" s="7" t="s">
        <v>39</v>
      </c>
      <c r="K235" s="7" t="s">
        <v>40</v>
      </c>
      <c r="L235" s="7"/>
    </row>
    <row r="236" spans="1:12" ht="11.25">
      <c r="A236" s="12" t="s">
        <v>660</v>
      </c>
      <c r="B236" s="8" t="s">
        <v>661</v>
      </c>
      <c r="C236" s="8" t="s">
        <v>54</v>
      </c>
      <c r="D236" s="8" t="s">
        <v>37</v>
      </c>
      <c r="E236" s="8" t="s">
        <v>25</v>
      </c>
      <c r="F236" s="4">
        <f>DATE(2025,2,21)+TIME(13,56,9)</f>
        <v>45709.580659722225</v>
      </c>
      <c r="G236" s="8" t="s">
        <v>38</v>
      </c>
      <c r="H236" s="13">
        <v>0</v>
      </c>
      <c r="I236" s="13">
        <v>150</v>
      </c>
      <c r="J236" s="8" t="s">
        <v>39</v>
      </c>
      <c r="K236" s="8" t="s">
        <v>40</v>
      </c>
      <c r="L236" s="8"/>
    </row>
    <row r="237" spans="1:12" ht="11.25">
      <c r="A237" s="10" t="s">
        <v>662</v>
      </c>
      <c r="B237" s="7" t="s">
        <v>663</v>
      </c>
      <c r="C237" s="7" t="s">
        <v>54</v>
      </c>
      <c r="D237" s="7" t="s">
        <v>37</v>
      </c>
      <c r="E237" s="7" t="s">
        <v>25</v>
      </c>
      <c r="F237" s="2">
        <f>DATE(2025,2,28)+TIME(15,26,2)</f>
        <v>45716.6430787037</v>
      </c>
      <c r="G237" s="7" t="s">
        <v>38</v>
      </c>
      <c r="H237" s="11">
        <v>0</v>
      </c>
      <c r="I237" s="11">
        <v>150</v>
      </c>
      <c r="J237" s="7" t="s">
        <v>39</v>
      </c>
      <c r="K237" s="7" t="s">
        <v>40</v>
      </c>
      <c r="L237" s="7"/>
    </row>
    <row r="238" spans="1:12" ht="11.25">
      <c r="A238" s="12" t="s">
        <v>664</v>
      </c>
      <c r="B238" s="8" t="s">
        <v>665</v>
      </c>
      <c r="C238" s="8" t="s">
        <v>666</v>
      </c>
      <c r="D238" s="8" t="s">
        <v>37</v>
      </c>
      <c r="E238" s="8" t="s">
        <v>23</v>
      </c>
      <c r="F238" s="4">
        <f>DATE(2025,2,26)+TIME(14,19,50)</f>
        <v>45714.59710648148</v>
      </c>
      <c r="G238" s="8" t="s">
        <v>299</v>
      </c>
      <c r="H238" s="13">
        <v>100</v>
      </c>
      <c r="I238" s="13">
        <v>100</v>
      </c>
      <c r="J238" s="8" t="s">
        <v>39</v>
      </c>
      <c r="K238" s="8" t="s">
        <v>48</v>
      </c>
      <c r="L238" s="8"/>
    </row>
    <row r="239" spans="1:12" ht="11.25">
      <c r="A239" s="10" t="s">
        <v>667</v>
      </c>
      <c r="B239" s="7" t="s">
        <v>668</v>
      </c>
      <c r="C239" s="7" t="s">
        <v>669</v>
      </c>
      <c r="D239" s="7" t="s">
        <v>37</v>
      </c>
      <c r="E239" s="7" t="s">
        <v>26</v>
      </c>
      <c r="F239" s="2">
        <f>DATE(2024,11,20)+TIME(11,28,46)</f>
        <v>45616.478310185186</v>
      </c>
      <c r="G239" s="7" t="s">
        <v>38</v>
      </c>
      <c r="H239" s="11">
        <v>0</v>
      </c>
      <c r="I239" s="11">
        <v>0</v>
      </c>
      <c r="J239" s="7" t="s">
        <v>39</v>
      </c>
      <c r="K239" s="7" t="s">
        <v>40</v>
      </c>
      <c r="L239" s="7"/>
    </row>
    <row r="240" spans="1:12" ht="11.25">
      <c r="A240" s="12" t="s">
        <v>670</v>
      </c>
      <c r="B240" s="8" t="s">
        <v>671</v>
      </c>
      <c r="C240" s="8" t="s">
        <v>54</v>
      </c>
      <c r="D240" s="8" t="s">
        <v>37</v>
      </c>
      <c r="E240" s="8" t="s">
        <v>25</v>
      </c>
      <c r="F240" s="4">
        <f>DATE(2025,3,3)+TIME(12,46,18)</f>
        <v>45719.53215277778</v>
      </c>
      <c r="G240" s="8" t="s">
        <v>38</v>
      </c>
      <c r="H240" s="13">
        <v>0</v>
      </c>
      <c r="I240" s="13">
        <v>150</v>
      </c>
      <c r="J240" s="8" t="s">
        <v>39</v>
      </c>
      <c r="K240" s="8" t="s">
        <v>40</v>
      </c>
      <c r="L240" s="8"/>
    </row>
    <row r="241" spans="1:12" ht="11.25">
      <c r="A241" s="10" t="s">
        <v>672</v>
      </c>
      <c r="B241" s="7" t="s">
        <v>673</v>
      </c>
      <c r="C241" s="7" t="s">
        <v>674</v>
      </c>
      <c r="D241" s="7" t="s">
        <v>37</v>
      </c>
      <c r="E241" s="7" t="s">
        <v>24</v>
      </c>
      <c r="F241" s="2">
        <f>DATE(2025,3,4)+TIME(14,59,23)</f>
        <v>45720.62457175926</v>
      </c>
      <c r="G241" s="7" t="s">
        <v>38</v>
      </c>
      <c r="H241" s="11">
        <v>0</v>
      </c>
      <c r="I241" s="11">
        <v>0</v>
      </c>
      <c r="J241" s="7" t="s">
        <v>39</v>
      </c>
      <c r="K241" s="7" t="s">
        <v>40</v>
      </c>
      <c r="L241" s="7"/>
    </row>
    <row r="242" spans="1:12" ht="11.25">
      <c r="A242" s="12" t="s">
        <v>675</v>
      </c>
      <c r="B242" s="8" t="s">
        <v>676</v>
      </c>
      <c r="C242" s="8" t="s">
        <v>118</v>
      </c>
      <c r="D242" s="8" t="s">
        <v>37</v>
      </c>
      <c r="E242" s="8" t="s">
        <v>24</v>
      </c>
      <c r="F242" s="4">
        <f>DATE(2025,4,10)+TIME(18,30,59)</f>
        <v>45757.771516203706</v>
      </c>
      <c r="G242" s="8" t="s">
        <v>38</v>
      </c>
      <c r="H242" s="13">
        <v>0</v>
      </c>
      <c r="I242" s="13">
        <v>0</v>
      </c>
      <c r="J242" s="8" t="s">
        <v>39</v>
      </c>
      <c r="K242" s="8" t="s">
        <v>40</v>
      </c>
      <c r="L242" s="8"/>
    </row>
    <row r="243" spans="1:12" ht="11.25">
      <c r="A243" s="10" t="s">
        <v>677</v>
      </c>
      <c r="B243" s="7" t="s">
        <v>678</v>
      </c>
      <c r="C243" s="7" t="s">
        <v>54</v>
      </c>
      <c r="D243" s="7" t="s">
        <v>37</v>
      </c>
      <c r="E243" s="7" t="s">
        <v>25</v>
      </c>
      <c r="F243" s="2">
        <f>DATE(2025,3,3)+TIME(17,26,29)</f>
        <v>45719.72672453704</v>
      </c>
      <c r="G243" s="7" t="s">
        <v>154</v>
      </c>
      <c r="H243" s="11">
        <v>150</v>
      </c>
      <c r="I243" s="11">
        <v>150</v>
      </c>
      <c r="J243" s="7" t="s">
        <v>39</v>
      </c>
      <c r="K243" s="7" t="s">
        <v>40</v>
      </c>
      <c r="L243" s="7"/>
    </row>
    <row r="244" spans="1:12" ht="11.25">
      <c r="A244" s="12" t="s">
        <v>679</v>
      </c>
      <c r="B244" s="8" t="s">
        <v>680</v>
      </c>
      <c r="C244" s="8" t="s">
        <v>681</v>
      </c>
      <c r="D244" s="8" t="s">
        <v>37</v>
      </c>
      <c r="E244" s="8" t="s">
        <v>29</v>
      </c>
      <c r="F244" s="4">
        <f>DATE(2025,2,27)+TIME(18,13,3)</f>
        <v>45715.7590625</v>
      </c>
      <c r="G244" s="8"/>
      <c r="H244" s="13">
        <v>0</v>
      </c>
      <c r="I244" s="13">
        <v>0</v>
      </c>
      <c r="J244" s="8" t="s">
        <v>39</v>
      </c>
      <c r="K244" s="8" t="s">
        <v>40</v>
      </c>
      <c r="L244" s="8" t="s">
        <v>682</v>
      </c>
    </row>
    <row r="245" spans="1:12" ht="11.25">
      <c r="A245" s="10" t="s">
        <v>683</v>
      </c>
      <c r="B245" s="7" t="s">
        <v>684</v>
      </c>
      <c r="C245" s="7" t="s">
        <v>685</v>
      </c>
      <c r="D245" s="7" t="s">
        <v>37</v>
      </c>
      <c r="E245" s="7" t="s">
        <v>28</v>
      </c>
      <c r="F245" s="2">
        <f>DATE(2025,4,8)+TIME(12,31,22)</f>
        <v>45755.521782407406</v>
      </c>
      <c r="G245" s="7" t="s">
        <v>38</v>
      </c>
      <c r="H245" s="11">
        <v>250</v>
      </c>
      <c r="I245" s="11">
        <v>250</v>
      </c>
      <c r="J245" s="7" t="s">
        <v>39</v>
      </c>
      <c r="K245" s="7" t="s">
        <v>40</v>
      </c>
      <c r="L245" s="7" t="s">
        <v>38</v>
      </c>
    </row>
    <row r="246" spans="1:12" ht="11.25">
      <c r="A246" s="12" t="s">
        <v>686</v>
      </c>
      <c r="B246" s="8" t="s">
        <v>687</v>
      </c>
      <c r="C246" s="8" t="s">
        <v>688</v>
      </c>
      <c r="D246" s="8" t="s">
        <v>37</v>
      </c>
      <c r="E246" s="8" t="s">
        <v>29</v>
      </c>
      <c r="F246" s="4">
        <f>DATE(2025,3,22)+TIME(14,27,19)</f>
        <v>45738.60230324074</v>
      </c>
      <c r="G246" s="8" t="s">
        <v>38</v>
      </c>
      <c r="H246" s="13">
        <v>0</v>
      </c>
      <c r="I246" s="13">
        <v>0</v>
      </c>
      <c r="J246" s="8" t="s">
        <v>39</v>
      </c>
      <c r="K246" s="8" t="s">
        <v>40</v>
      </c>
      <c r="L246" s="8" t="s">
        <v>38</v>
      </c>
    </row>
    <row r="247" spans="1:12" ht="11.25">
      <c r="A247" s="10" t="s">
        <v>689</v>
      </c>
      <c r="B247" s="7" t="s">
        <v>690</v>
      </c>
      <c r="C247" s="7" t="s">
        <v>691</v>
      </c>
      <c r="D247" s="7" t="s">
        <v>37</v>
      </c>
      <c r="E247" s="7" t="s">
        <v>27</v>
      </c>
      <c r="F247" s="2">
        <f>DATE(2025,4,12)+TIME(15,17,0)</f>
        <v>45759.63680555556</v>
      </c>
      <c r="G247" s="7" t="s">
        <v>81</v>
      </c>
      <c r="H247" s="11">
        <v>325</v>
      </c>
      <c r="I247" s="11">
        <v>675</v>
      </c>
      <c r="J247" s="7" t="s">
        <v>39</v>
      </c>
      <c r="K247" s="7" t="s">
        <v>40</v>
      </c>
      <c r="L247" s="7"/>
    </row>
    <row r="248" spans="1:12" ht="11.25">
      <c r="A248" s="12" t="s">
        <v>692</v>
      </c>
      <c r="B248" s="8" t="s">
        <v>693</v>
      </c>
      <c r="C248" s="8" t="s">
        <v>694</v>
      </c>
      <c r="D248" s="8" t="s">
        <v>37</v>
      </c>
      <c r="E248" s="8" t="s">
        <v>24</v>
      </c>
      <c r="F248" s="4">
        <f>DATE(2025,3,24)+TIME(15,49,55)</f>
        <v>45740.65966435185</v>
      </c>
      <c r="G248" s="8" t="s">
        <v>219</v>
      </c>
      <c r="H248" s="13">
        <v>0</v>
      </c>
      <c r="I248" s="13">
        <v>0</v>
      </c>
      <c r="J248" s="8" t="s">
        <v>39</v>
      </c>
      <c r="K248" s="8" t="s">
        <v>40</v>
      </c>
      <c r="L248" s="8"/>
    </row>
    <row r="249" spans="1:12" ht="11.25">
      <c r="A249" s="10" t="s">
        <v>695</v>
      </c>
      <c r="B249" s="7" t="s">
        <v>696</v>
      </c>
      <c r="C249" s="7" t="s">
        <v>697</v>
      </c>
      <c r="D249" s="7" t="s">
        <v>37</v>
      </c>
      <c r="E249" s="7" t="s">
        <v>24</v>
      </c>
      <c r="F249" s="2">
        <f>DATE(2025,3,24)+TIME(15,2,19)</f>
        <v>45740.626608796294</v>
      </c>
      <c r="G249" s="7" t="s">
        <v>219</v>
      </c>
      <c r="H249" s="11">
        <v>0</v>
      </c>
      <c r="I249" s="11">
        <v>0</v>
      </c>
      <c r="J249" s="7" t="s">
        <v>39</v>
      </c>
      <c r="K249" s="7" t="s">
        <v>40</v>
      </c>
      <c r="L249" s="7"/>
    </row>
    <row r="250" spans="1:12" ht="11.25">
      <c r="A250" s="12" t="s">
        <v>698</v>
      </c>
      <c r="B250" s="8" t="s">
        <v>699</v>
      </c>
      <c r="C250" s="8" t="s">
        <v>700</v>
      </c>
      <c r="D250" s="8" t="s">
        <v>37</v>
      </c>
      <c r="E250" s="8" t="s">
        <v>27</v>
      </c>
      <c r="F250" s="4">
        <f>DATE(2025,4,13)+TIME(16,27,39)</f>
        <v>45760.68586805555</v>
      </c>
      <c r="G250" s="8" t="s">
        <v>81</v>
      </c>
      <c r="H250" s="13">
        <v>0</v>
      </c>
      <c r="I250" s="13">
        <v>470</v>
      </c>
      <c r="J250" s="8" t="s">
        <v>39</v>
      </c>
      <c r="K250" s="8" t="s">
        <v>40</v>
      </c>
      <c r="L250" s="8"/>
    </row>
    <row r="251" spans="1:12" ht="11.25">
      <c r="A251" s="10" t="s">
        <v>701</v>
      </c>
      <c r="B251" s="7" t="s">
        <v>702</v>
      </c>
      <c r="C251" s="7" t="s">
        <v>54</v>
      </c>
      <c r="D251" s="7" t="s">
        <v>37</v>
      </c>
      <c r="E251" s="7" t="s">
        <v>26</v>
      </c>
      <c r="F251" s="2">
        <f>DATE(2025,3,3)+TIME(17,12,16)</f>
        <v>45719.71685185185</v>
      </c>
      <c r="G251" s="7" t="s">
        <v>38</v>
      </c>
      <c r="H251" s="11">
        <v>0</v>
      </c>
      <c r="I251" s="11">
        <v>0</v>
      </c>
      <c r="J251" s="7" t="s">
        <v>39</v>
      </c>
      <c r="K251" s="7" t="s">
        <v>40</v>
      </c>
      <c r="L251" s="7"/>
    </row>
    <row r="252" spans="1:12" ht="11.25">
      <c r="A252" s="12" t="s">
        <v>703</v>
      </c>
      <c r="B252" s="8" t="s">
        <v>704</v>
      </c>
      <c r="C252" s="8" t="s">
        <v>705</v>
      </c>
      <c r="D252" s="8" t="s">
        <v>37</v>
      </c>
      <c r="E252" s="8" t="s">
        <v>23</v>
      </c>
      <c r="F252" s="4">
        <f>DATE(2025,3,2)+TIME(14,14,34)</f>
        <v>45718.59344907408</v>
      </c>
      <c r="G252" s="8" t="s">
        <v>417</v>
      </c>
      <c r="H252" s="13">
        <v>470</v>
      </c>
      <c r="I252" s="13">
        <v>470</v>
      </c>
      <c r="J252" s="8" t="s">
        <v>39</v>
      </c>
      <c r="K252" s="8" t="s">
        <v>40</v>
      </c>
      <c r="L252" s="8"/>
    </row>
    <row r="253" spans="1:12" ht="11.25">
      <c r="A253" s="10" t="s">
        <v>706</v>
      </c>
      <c r="B253" s="7" t="s">
        <v>707</v>
      </c>
      <c r="C253" s="7" t="s">
        <v>104</v>
      </c>
      <c r="D253" s="7" t="s">
        <v>37</v>
      </c>
      <c r="E253" s="7" t="s">
        <v>27</v>
      </c>
      <c r="F253" s="2">
        <f>DATE(2025,4,13)+TIME(16,43,36)</f>
        <v>45760.69694444445</v>
      </c>
      <c r="G253" s="7" t="s">
        <v>81</v>
      </c>
      <c r="H253" s="11">
        <v>0</v>
      </c>
      <c r="I253" s="11">
        <v>470</v>
      </c>
      <c r="J253" s="7" t="s">
        <v>39</v>
      </c>
      <c r="K253" s="7" t="s">
        <v>40</v>
      </c>
      <c r="L253" s="7"/>
    </row>
    <row r="254" spans="1:12" ht="11.25">
      <c r="A254" s="12" t="s">
        <v>708</v>
      </c>
      <c r="B254" s="8" t="s">
        <v>709</v>
      </c>
      <c r="C254" s="8" t="s">
        <v>67</v>
      </c>
      <c r="D254" s="8" t="s">
        <v>37</v>
      </c>
      <c r="E254" s="8" t="s">
        <v>28</v>
      </c>
      <c r="F254" s="4">
        <f>DATE(2025,2,17)+TIME(18,56,26)</f>
        <v>45705.789189814815</v>
      </c>
      <c r="G254" s="8" t="s">
        <v>38</v>
      </c>
      <c r="H254" s="13">
        <v>0</v>
      </c>
      <c r="I254" s="13">
        <v>250</v>
      </c>
      <c r="J254" s="8" t="s">
        <v>39</v>
      </c>
      <c r="K254" s="8" t="s">
        <v>40</v>
      </c>
      <c r="L254" s="8"/>
    </row>
    <row r="255" spans="1:12" ht="11.25">
      <c r="A255" s="10" t="s">
        <v>710</v>
      </c>
      <c r="B255" s="7" t="s">
        <v>711</v>
      </c>
      <c r="C255" s="7" t="s">
        <v>712</v>
      </c>
      <c r="D255" s="7" t="s">
        <v>37</v>
      </c>
      <c r="E255" s="7" t="s">
        <v>23</v>
      </c>
      <c r="F255" s="2">
        <f>DATE(2025,3,3)+TIME(16,16,26)</f>
        <v>45719.678078703706</v>
      </c>
      <c r="G255" s="7" t="s">
        <v>38</v>
      </c>
      <c r="H255" s="11">
        <v>450</v>
      </c>
      <c r="I255" s="11">
        <v>450</v>
      </c>
      <c r="J255" s="7" t="s">
        <v>39</v>
      </c>
      <c r="K255" s="7" t="s">
        <v>40</v>
      </c>
      <c r="L255" s="7"/>
    </row>
    <row r="256" spans="1:12" ht="11.25">
      <c r="A256" s="12" t="s">
        <v>713</v>
      </c>
      <c r="B256" s="8" t="s">
        <v>714</v>
      </c>
      <c r="C256" s="8" t="s">
        <v>715</v>
      </c>
      <c r="D256" s="8" t="s">
        <v>37</v>
      </c>
      <c r="E256" s="8" t="s">
        <v>27</v>
      </c>
      <c r="F256" s="4">
        <f>DATE(2025,4,13)+TIME(16,9,40)</f>
        <v>45760.67337962963</v>
      </c>
      <c r="G256" s="8" t="s">
        <v>81</v>
      </c>
      <c r="H256" s="13">
        <v>0</v>
      </c>
      <c r="I256" s="13">
        <v>470</v>
      </c>
      <c r="J256" s="8" t="s">
        <v>39</v>
      </c>
      <c r="K256" s="8" t="s">
        <v>40</v>
      </c>
      <c r="L256" s="8"/>
    </row>
    <row r="257" spans="1:12" ht="11.25">
      <c r="A257" s="10" t="s">
        <v>716</v>
      </c>
      <c r="B257" s="7" t="s">
        <v>717</v>
      </c>
      <c r="C257" s="7" t="s">
        <v>54</v>
      </c>
      <c r="D257" s="7" t="s">
        <v>37</v>
      </c>
      <c r="E257" s="7" t="s">
        <v>24</v>
      </c>
      <c r="F257" s="2">
        <f>DATE(2025,3,31)+TIME(13,44,10)</f>
        <v>45747.57233796296</v>
      </c>
      <c r="G257" s="7" t="s">
        <v>154</v>
      </c>
      <c r="H257" s="11">
        <v>0</v>
      </c>
      <c r="I257" s="11">
        <v>0</v>
      </c>
      <c r="J257" s="7" t="s">
        <v>39</v>
      </c>
      <c r="K257" s="7" t="s">
        <v>40</v>
      </c>
      <c r="L257" s="7"/>
    </row>
    <row r="258" spans="1:12" ht="11.25">
      <c r="A258" s="12" t="s">
        <v>718</v>
      </c>
      <c r="B258" s="8" t="s">
        <v>719</v>
      </c>
      <c r="C258" s="8" t="s">
        <v>326</v>
      </c>
      <c r="D258" s="8" t="s">
        <v>37</v>
      </c>
      <c r="E258" s="8" t="s">
        <v>27</v>
      </c>
      <c r="F258" s="4">
        <f>DATE(2025,4,13)+TIME(17,1,46)</f>
        <v>45760.70956018518</v>
      </c>
      <c r="G258" s="8" t="s">
        <v>81</v>
      </c>
      <c r="H258" s="13">
        <v>0</v>
      </c>
      <c r="I258" s="13">
        <v>470</v>
      </c>
      <c r="J258" s="8" t="s">
        <v>39</v>
      </c>
      <c r="K258" s="8" t="s">
        <v>40</v>
      </c>
      <c r="L258" s="8"/>
    </row>
    <row r="259" spans="1:12" ht="11.25">
      <c r="A259" s="10" t="s">
        <v>720</v>
      </c>
      <c r="B259" s="7" t="s">
        <v>721</v>
      </c>
      <c r="C259" s="7" t="s">
        <v>722</v>
      </c>
      <c r="D259" s="7" t="s">
        <v>37</v>
      </c>
      <c r="E259" s="7" t="s">
        <v>28</v>
      </c>
      <c r="F259" s="2">
        <f>DATE(2025,3,20)+TIME(13,1,8)</f>
        <v>45736.5424537037</v>
      </c>
      <c r="G259" s="7" t="s">
        <v>38</v>
      </c>
      <c r="H259" s="11">
        <v>0</v>
      </c>
      <c r="I259" s="11">
        <v>470</v>
      </c>
      <c r="J259" s="7" t="s">
        <v>39</v>
      </c>
      <c r="K259" s="7" t="s">
        <v>40</v>
      </c>
      <c r="L259" s="7"/>
    </row>
    <row r="260" spans="1:12" ht="11.25">
      <c r="A260" s="12" t="s">
        <v>723</v>
      </c>
      <c r="B260" s="8" t="s">
        <v>724</v>
      </c>
      <c r="C260" s="8" t="s">
        <v>725</v>
      </c>
      <c r="D260" s="8" t="s">
        <v>37</v>
      </c>
      <c r="E260" s="8" t="s">
        <v>23</v>
      </c>
      <c r="F260" s="4">
        <f>DATE(2025,4,10)+TIME(10,43,18)</f>
        <v>45757.44673611111</v>
      </c>
      <c r="G260" s="8" t="s">
        <v>38</v>
      </c>
      <c r="H260" s="13">
        <v>100</v>
      </c>
      <c r="I260" s="13">
        <v>100</v>
      </c>
      <c r="J260" s="8" t="s">
        <v>39</v>
      </c>
      <c r="K260" s="8" t="s">
        <v>48</v>
      </c>
      <c r="L260" s="8"/>
    </row>
    <row r="261" spans="1:12" ht="11.25">
      <c r="A261" s="10" t="s">
        <v>726</v>
      </c>
      <c r="B261" s="7" t="s">
        <v>727</v>
      </c>
      <c r="C261" s="7" t="s">
        <v>728</v>
      </c>
      <c r="D261" s="7" t="s">
        <v>37</v>
      </c>
      <c r="E261" s="7" t="s">
        <v>24</v>
      </c>
      <c r="F261" s="2">
        <f>DATE(2025,3,7)+TIME(13,18,22)</f>
        <v>45723.5544212963</v>
      </c>
      <c r="G261" s="7" t="s">
        <v>38</v>
      </c>
      <c r="H261" s="11">
        <v>0</v>
      </c>
      <c r="I261" s="11">
        <v>0</v>
      </c>
      <c r="J261" s="7" t="s">
        <v>39</v>
      </c>
      <c r="K261" s="7" t="s">
        <v>40</v>
      </c>
      <c r="L261" s="7"/>
    </row>
    <row r="262" spans="1:12" ht="11.25">
      <c r="A262" s="12" t="s">
        <v>729</v>
      </c>
      <c r="B262" s="8" t="s">
        <v>730</v>
      </c>
      <c r="C262" s="8" t="s">
        <v>110</v>
      </c>
      <c r="D262" s="8" t="s">
        <v>37</v>
      </c>
      <c r="E262" s="8" t="s">
        <v>27</v>
      </c>
      <c r="F262" s="4">
        <f>DATE(2025,4,12)+TIME(14,9,14)</f>
        <v>45759.58974537037</v>
      </c>
      <c r="G262" s="8" t="s">
        <v>81</v>
      </c>
      <c r="H262" s="13">
        <v>0</v>
      </c>
      <c r="I262" s="13">
        <v>350</v>
      </c>
      <c r="J262" s="8" t="s">
        <v>39</v>
      </c>
      <c r="K262" s="8" t="s">
        <v>40</v>
      </c>
      <c r="L262" s="8"/>
    </row>
    <row r="263" spans="1:12" ht="11.25">
      <c r="A263" s="10" t="s">
        <v>731</v>
      </c>
      <c r="B263" s="7" t="s">
        <v>732</v>
      </c>
      <c r="C263" s="7" t="s">
        <v>733</v>
      </c>
      <c r="D263" s="7" t="s">
        <v>37</v>
      </c>
      <c r="E263" s="7" t="s">
        <v>25</v>
      </c>
      <c r="F263" s="2">
        <f>DATE(2025,2,16)+TIME(21,53,48)</f>
        <v>45704.91236111111</v>
      </c>
      <c r="G263" s="7" t="s">
        <v>38</v>
      </c>
      <c r="H263" s="11">
        <v>0</v>
      </c>
      <c r="I263" s="11">
        <v>150</v>
      </c>
      <c r="J263" s="7" t="s">
        <v>39</v>
      </c>
      <c r="K263" s="7" t="s">
        <v>40</v>
      </c>
      <c r="L263" s="7" t="s">
        <v>38</v>
      </c>
    </row>
    <row r="264" spans="1:12" ht="11.25">
      <c r="A264" s="12" t="s">
        <v>734</v>
      </c>
      <c r="B264" s="8" t="s">
        <v>735</v>
      </c>
      <c r="C264" s="8" t="s">
        <v>67</v>
      </c>
      <c r="D264" s="8" t="s">
        <v>37</v>
      </c>
      <c r="E264" s="8" t="s">
        <v>26</v>
      </c>
      <c r="F264" s="4">
        <f>DATE(2025,3,10)+TIME(13,54,16)</f>
        <v>45726.579351851855</v>
      </c>
      <c r="G264" s="8" t="s">
        <v>38</v>
      </c>
      <c r="H264" s="13">
        <v>0</v>
      </c>
      <c r="I264" s="13">
        <v>0</v>
      </c>
      <c r="J264" s="8" t="s">
        <v>39</v>
      </c>
      <c r="K264" s="8" t="s">
        <v>40</v>
      </c>
      <c r="L264" s="8"/>
    </row>
    <row r="265" spans="1:12" ht="11.25">
      <c r="A265" s="10" t="s">
        <v>736</v>
      </c>
      <c r="B265" s="7" t="s">
        <v>737</v>
      </c>
      <c r="C265" s="7" t="s">
        <v>738</v>
      </c>
      <c r="D265" s="7" t="s">
        <v>37</v>
      </c>
      <c r="E265" s="7" t="s">
        <v>26</v>
      </c>
      <c r="F265" s="2">
        <f>DATE(2025,1,29)+TIME(13,54,59)</f>
        <v>45686.57984953704</v>
      </c>
      <c r="G265" s="7" t="s">
        <v>38</v>
      </c>
      <c r="H265" s="11">
        <v>0</v>
      </c>
      <c r="I265" s="11">
        <v>0</v>
      </c>
      <c r="J265" s="7" t="s">
        <v>39</v>
      </c>
      <c r="K265" s="7" t="s">
        <v>40</v>
      </c>
      <c r="L265" s="7"/>
    </row>
    <row r="266" spans="1:12" ht="11.25">
      <c r="A266" s="12" t="s">
        <v>739</v>
      </c>
      <c r="B266" s="8" t="s">
        <v>740</v>
      </c>
      <c r="C266" s="8" t="s">
        <v>741</v>
      </c>
      <c r="D266" s="8" t="s">
        <v>37</v>
      </c>
      <c r="E266" s="8" t="s">
        <v>27</v>
      </c>
      <c r="F266" s="4">
        <f>DATE(2025,4,13)+TIME(15,56,40)</f>
        <v>45760.664351851854</v>
      </c>
      <c r="G266" s="8" t="s">
        <v>81</v>
      </c>
      <c r="H266" s="13">
        <v>0</v>
      </c>
      <c r="I266" s="13">
        <v>470</v>
      </c>
      <c r="J266" s="8" t="s">
        <v>39</v>
      </c>
      <c r="K266" s="8" t="s">
        <v>40</v>
      </c>
      <c r="L266" s="8"/>
    </row>
    <row r="267" spans="1:12" ht="11.25">
      <c r="A267" s="10" t="s">
        <v>742</v>
      </c>
      <c r="B267" s="7" t="s">
        <v>743</v>
      </c>
      <c r="C267" s="7" t="s">
        <v>123</v>
      </c>
      <c r="D267" s="7" t="s">
        <v>37</v>
      </c>
      <c r="E267" s="7" t="s">
        <v>25</v>
      </c>
      <c r="F267" s="2">
        <f>DATE(2025,3,4)+TIME(16,52,46)</f>
        <v>45720.703310185185</v>
      </c>
      <c r="G267" s="7" t="s">
        <v>38</v>
      </c>
      <c r="H267" s="11">
        <v>0</v>
      </c>
      <c r="I267" s="11">
        <v>150</v>
      </c>
      <c r="J267" s="7" t="s">
        <v>39</v>
      </c>
      <c r="K267" s="7" t="s">
        <v>40</v>
      </c>
      <c r="L267" s="7"/>
    </row>
    <row r="268" spans="1:12" ht="11.25">
      <c r="A268" s="12" t="s">
        <v>744</v>
      </c>
      <c r="B268" s="8" t="s">
        <v>745</v>
      </c>
      <c r="C268" s="8" t="s">
        <v>746</v>
      </c>
      <c r="D268" s="8" t="s">
        <v>37</v>
      </c>
      <c r="E268" s="8" t="s">
        <v>24</v>
      </c>
      <c r="F268" s="4">
        <f>DATE(2025,2,27)+TIME(9,13,15)</f>
        <v>45715.384201388886</v>
      </c>
      <c r="G268" s="8" t="s">
        <v>38</v>
      </c>
      <c r="H268" s="13">
        <v>0</v>
      </c>
      <c r="I268" s="13">
        <v>0</v>
      </c>
      <c r="J268" s="8" t="s">
        <v>39</v>
      </c>
      <c r="K268" s="8" t="s">
        <v>40</v>
      </c>
      <c r="L268" s="8"/>
    </row>
    <row r="269" spans="1:12" ht="11.25">
      <c r="A269" s="10" t="s">
        <v>747</v>
      </c>
      <c r="B269" s="7" t="s">
        <v>748</v>
      </c>
      <c r="C269" s="7" t="s">
        <v>749</v>
      </c>
      <c r="D269" s="7" t="s">
        <v>37</v>
      </c>
      <c r="E269" s="7" t="s">
        <v>23</v>
      </c>
      <c r="F269" s="2">
        <f>DATE(2025,3,19)+TIME(13,48,30)</f>
        <v>45735.57534722222</v>
      </c>
      <c r="G269" s="7" t="s">
        <v>38</v>
      </c>
      <c r="H269" s="11">
        <v>550</v>
      </c>
      <c r="I269" s="11">
        <v>550</v>
      </c>
      <c r="J269" s="7" t="s">
        <v>39</v>
      </c>
      <c r="K269" s="7" t="s">
        <v>40</v>
      </c>
      <c r="L269" s="7"/>
    </row>
    <row r="270" spans="1:12" ht="11.25">
      <c r="A270" s="12" t="s">
        <v>750</v>
      </c>
      <c r="B270" s="8" t="s">
        <v>751</v>
      </c>
      <c r="C270" s="8" t="s">
        <v>354</v>
      </c>
      <c r="D270" s="8" t="s">
        <v>37</v>
      </c>
      <c r="E270" s="8" t="s">
        <v>24</v>
      </c>
      <c r="F270" s="4">
        <f>DATE(2024,12,13)+TIME(10,27,31)</f>
        <v>45639.43577546296</v>
      </c>
      <c r="G270" s="8" t="s">
        <v>38</v>
      </c>
      <c r="H270" s="13">
        <v>0</v>
      </c>
      <c r="I270" s="13">
        <v>0</v>
      </c>
      <c r="J270" s="8" t="s">
        <v>39</v>
      </c>
      <c r="K270" s="8" t="s">
        <v>40</v>
      </c>
      <c r="L270" s="8"/>
    </row>
    <row r="271" spans="1:12" ht="11.25">
      <c r="A271" s="10" t="s">
        <v>752</v>
      </c>
      <c r="B271" s="7" t="s">
        <v>753</v>
      </c>
      <c r="C271" s="7" t="s">
        <v>54</v>
      </c>
      <c r="D271" s="7" t="s">
        <v>37</v>
      </c>
      <c r="E271" s="7" t="s">
        <v>25</v>
      </c>
      <c r="F271" s="2">
        <f>DATE(2025,3,5)+TIME(16,58,18)</f>
        <v>45721.70715277778</v>
      </c>
      <c r="G271" s="7" t="s">
        <v>38</v>
      </c>
      <c r="H271" s="11">
        <v>-250</v>
      </c>
      <c r="I271" s="11">
        <v>150</v>
      </c>
      <c r="J271" s="7" t="s">
        <v>39</v>
      </c>
      <c r="K271" s="7" t="s">
        <v>40</v>
      </c>
      <c r="L271" s="7"/>
    </row>
    <row r="272" spans="1:12" ht="11.25">
      <c r="A272" s="12" t="s">
        <v>754</v>
      </c>
      <c r="B272" s="8" t="s">
        <v>755</v>
      </c>
      <c r="C272" s="8" t="s">
        <v>756</v>
      </c>
      <c r="D272" s="8" t="s">
        <v>37</v>
      </c>
      <c r="E272" s="8" t="s">
        <v>24</v>
      </c>
      <c r="F272" s="4">
        <f>DATE(2025,3,14)+TIME(10,49,33)</f>
        <v>45730.45107638889</v>
      </c>
      <c r="G272" s="8" t="s">
        <v>38</v>
      </c>
      <c r="H272" s="13">
        <v>0</v>
      </c>
      <c r="I272" s="13">
        <v>0</v>
      </c>
      <c r="J272" s="8" t="s">
        <v>39</v>
      </c>
      <c r="K272" s="8" t="s">
        <v>40</v>
      </c>
      <c r="L272" s="8"/>
    </row>
    <row r="273" spans="1:12" ht="11.25">
      <c r="A273" s="10" t="s">
        <v>757</v>
      </c>
      <c r="B273" s="7" t="s">
        <v>758</v>
      </c>
      <c r="C273" s="7" t="s">
        <v>759</v>
      </c>
      <c r="D273" s="7" t="s">
        <v>37</v>
      </c>
      <c r="E273" s="7" t="s">
        <v>23</v>
      </c>
      <c r="F273" s="2">
        <f>DATE(2025,3,2)+TIME(15,35,5)</f>
        <v>45718.649363425924</v>
      </c>
      <c r="G273" s="7" t="s">
        <v>81</v>
      </c>
      <c r="H273" s="11">
        <v>570</v>
      </c>
      <c r="I273" s="11">
        <v>570</v>
      </c>
      <c r="J273" s="7" t="s">
        <v>39</v>
      </c>
      <c r="K273" s="7" t="s">
        <v>40</v>
      </c>
      <c r="L273" s="7"/>
    </row>
    <row r="274" spans="1:12" ht="11.25">
      <c r="A274" s="12" t="s">
        <v>760</v>
      </c>
      <c r="B274" s="8" t="s">
        <v>761</v>
      </c>
      <c r="C274" s="8" t="s">
        <v>759</v>
      </c>
      <c r="D274" s="8" t="s">
        <v>37</v>
      </c>
      <c r="E274" s="8" t="s">
        <v>23</v>
      </c>
      <c r="F274" s="4">
        <f>DATE(2025,3,2)+TIME(15,46,1)</f>
        <v>45718.656956018516</v>
      </c>
      <c r="G274" s="8" t="s">
        <v>81</v>
      </c>
      <c r="H274" s="13">
        <v>570</v>
      </c>
      <c r="I274" s="13">
        <v>570</v>
      </c>
      <c r="J274" s="8" t="s">
        <v>39</v>
      </c>
      <c r="K274" s="8" t="s">
        <v>40</v>
      </c>
      <c r="L274" s="8"/>
    </row>
    <row r="275" spans="1:12" ht="11.25">
      <c r="A275" s="10" t="s">
        <v>762</v>
      </c>
      <c r="B275" s="7" t="s">
        <v>763</v>
      </c>
      <c r="C275" s="7" t="s">
        <v>198</v>
      </c>
      <c r="D275" s="7" t="s">
        <v>37</v>
      </c>
      <c r="E275" s="7" t="s">
        <v>26</v>
      </c>
      <c r="F275" s="2">
        <f>DATE(2025,4,1)+TIME(15,59,2)</f>
        <v>45748.66599537037</v>
      </c>
      <c r="G275" s="7" t="s">
        <v>38</v>
      </c>
      <c r="H275" s="11">
        <v>0</v>
      </c>
      <c r="I275" s="11">
        <v>0</v>
      </c>
      <c r="J275" s="7" t="s">
        <v>39</v>
      </c>
      <c r="K275" s="7" t="s">
        <v>40</v>
      </c>
      <c r="L275" s="7"/>
    </row>
    <row r="276" spans="1:12" ht="11.25">
      <c r="A276" s="12" t="s">
        <v>764</v>
      </c>
      <c r="B276" s="8" t="s">
        <v>765</v>
      </c>
      <c r="C276" s="8" t="s">
        <v>54</v>
      </c>
      <c r="D276" s="8" t="s">
        <v>37</v>
      </c>
      <c r="E276" s="8" t="s">
        <v>25</v>
      </c>
      <c r="F276" s="4">
        <f>DATE(2025,3,4)+TIME(9,44,5)</f>
        <v>45720.40561342592</v>
      </c>
      <c r="G276" s="8" t="s">
        <v>38</v>
      </c>
      <c r="H276" s="13">
        <v>0</v>
      </c>
      <c r="I276" s="13">
        <v>150</v>
      </c>
      <c r="J276" s="8" t="s">
        <v>39</v>
      </c>
      <c r="K276" s="8" t="s">
        <v>40</v>
      </c>
      <c r="L276" s="8" t="s">
        <v>38</v>
      </c>
    </row>
    <row r="277" spans="1:12" ht="11.25">
      <c r="A277" s="10" t="s">
        <v>766</v>
      </c>
      <c r="B277" s="7" t="s">
        <v>767</v>
      </c>
      <c r="C277" s="7" t="s">
        <v>768</v>
      </c>
      <c r="D277" s="7" t="s">
        <v>37</v>
      </c>
      <c r="E277" s="7" t="s">
        <v>24</v>
      </c>
      <c r="F277" s="2">
        <f>DATE(2025,4,11)+TIME(14,34,22)</f>
        <v>45758.607199074075</v>
      </c>
      <c r="G277" s="7" t="s">
        <v>38</v>
      </c>
      <c r="H277" s="11">
        <v>0</v>
      </c>
      <c r="I277" s="11">
        <v>0</v>
      </c>
      <c r="J277" s="7" t="s">
        <v>39</v>
      </c>
      <c r="K277" s="7" t="s">
        <v>40</v>
      </c>
      <c r="L277" s="7"/>
    </row>
    <row r="278" spans="1:12" ht="11.25">
      <c r="A278" s="12" t="s">
        <v>769</v>
      </c>
      <c r="B278" s="8" t="s">
        <v>770</v>
      </c>
      <c r="C278" s="8" t="s">
        <v>771</v>
      </c>
      <c r="D278" s="8" t="s">
        <v>37</v>
      </c>
      <c r="E278" s="8" t="s">
        <v>23</v>
      </c>
      <c r="F278" s="4">
        <f>DATE(2025,4,1)+TIME(13,4,52)</f>
        <v>45748.5450462963</v>
      </c>
      <c r="G278" s="8" t="s">
        <v>38</v>
      </c>
      <c r="H278" s="13">
        <v>550</v>
      </c>
      <c r="I278" s="13">
        <v>550</v>
      </c>
      <c r="J278" s="8" t="s">
        <v>39</v>
      </c>
      <c r="K278" s="8" t="s">
        <v>40</v>
      </c>
      <c r="L278" s="8" t="s">
        <v>38</v>
      </c>
    </row>
    <row r="279" spans="1:12" ht="11.25">
      <c r="A279" s="10" t="s">
        <v>772</v>
      </c>
      <c r="B279" s="7" t="s">
        <v>773</v>
      </c>
      <c r="C279" s="7" t="s">
        <v>774</v>
      </c>
      <c r="D279" s="7" t="s">
        <v>37</v>
      </c>
      <c r="E279" s="7" t="s">
        <v>25</v>
      </c>
      <c r="F279" s="2">
        <f>DATE(2025,3,3)+TIME(17,58,12)</f>
        <v>45719.74875</v>
      </c>
      <c r="G279" s="7" t="s">
        <v>38</v>
      </c>
      <c r="H279" s="11">
        <v>150</v>
      </c>
      <c r="I279" s="11">
        <v>150</v>
      </c>
      <c r="J279" s="7" t="s">
        <v>39</v>
      </c>
      <c r="K279" s="7" t="s">
        <v>40</v>
      </c>
      <c r="L279" s="7"/>
    </row>
    <row r="280" spans="1:12" ht="11.25">
      <c r="A280" s="12" t="s">
        <v>775</v>
      </c>
      <c r="B280" s="8" t="s">
        <v>776</v>
      </c>
      <c r="C280" s="8" t="s">
        <v>777</v>
      </c>
      <c r="D280" s="8" t="s">
        <v>37</v>
      </c>
      <c r="E280" s="8" t="s">
        <v>23</v>
      </c>
      <c r="F280" s="4">
        <f>DATE(2025,3,4)+TIME(8,29,39)</f>
        <v>45720.35392361111</v>
      </c>
      <c r="G280" s="8" t="s">
        <v>682</v>
      </c>
      <c r="H280" s="13">
        <v>100</v>
      </c>
      <c r="I280" s="13">
        <v>100</v>
      </c>
      <c r="J280" s="8" t="s">
        <v>39</v>
      </c>
      <c r="K280" s="8" t="s">
        <v>48</v>
      </c>
      <c r="L280" s="8"/>
    </row>
    <row r="281" spans="1:12" ht="11.25">
      <c r="A281" s="10" t="s">
        <v>778</v>
      </c>
      <c r="B281" s="7" t="s">
        <v>779</v>
      </c>
      <c r="C281" s="7" t="s">
        <v>205</v>
      </c>
      <c r="D281" s="7" t="s">
        <v>37</v>
      </c>
      <c r="E281" s="7" t="s">
        <v>26</v>
      </c>
      <c r="F281" s="2">
        <f>DATE(2024,12,10)+TIME(9,39,38)</f>
        <v>45636.40252314815</v>
      </c>
      <c r="G281" s="7" t="s">
        <v>38</v>
      </c>
      <c r="H281" s="11">
        <v>0</v>
      </c>
      <c r="I281" s="11">
        <v>0</v>
      </c>
      <c r="J281" s="7" t="s">
        <v>39</v>
      </c>
      <c r="K281" s="7" t="s">
        <v>40</v>
      </c>
      <c r="L281" s="7"/>
    </row>
    <row r="282" spans="1:12" ht="11.25">
      <c r="A282" s="12" t="s">
        <v>780</v>
      </c>
      <c r="B282" s="8" t="s">
        <v>781</v>
      </c>
      <c r="C282" s="8" t="s">
        <v>782</v>
      </c>
      <c r="D282" s="8" t="s">
        <v>37</v>
      </c>
      <c r="E282" s="8" t="s">
        <v>24</v>
      </c>
      <c r="F282" s="4">
        <f>DATE(2025,3,7)+TIME(7,47,32)</f>
        <v>45723.32467592593</v>
      </c>
      <c r="G282" s="8" t="s">
        <v>38</v>
      </c>
      <c r="H282" s="13">
        <v>0</v>
      </c>
      <c r="I282" s="13">
        <v>0</v>
      </c>
      <c r="J282" s="8" t="s">
        <v>39</v>
      </c>
      <c r="K282" s="8" t="s">
        <v>40</v>
      </c>
      <c r="L282" s="8"/>
    </row>
    <row r="283" spans="1:12" ht="11.25">
      <c r="A283" s="10" t="s">
        <v>783</v>
      </c>
      <c r="B283" s="7" t="s">
        <v>784</v>
      </c>
      <c r="C283" s="7" t="s">
        <v>95</v>
      </c>
      <c r="D283" s="7" t="s">
        <v>37</v>
      </c>
      <c r="E283" s="7" t="s">
        <v>26</v>
      </c>
      <c r="F283" s="2">
        <f>DATE(2024,11,20)+TIME(15,42,57)</f>
        <v>45616.65482638889</v>
      </c>
      <c r="G283" s="7" t="s">
        <v>38</v>
      </c>
      <c r="H283" s="11">
        <v>0</v>
      </c>
      <c r="I283" s="11">
        <v>0</v>
      </c>
      <c r="J283" s="7" t="s">
        <v>39</v>
      </c>
      <c r="K283" s="7" t="s">
        <v>40</v>
      </c>
      <c r="L283" s="7"/>
    </row>
    <row r="284" spans="1:12" ht="11.25">
      <c r="A284" s="12" t="s">
        <v>785</v>
      </c>
      <c r="B284" s="8" t="s">
        <v>786</v>
      </c>
      <c r="C284" s="8" t="s">
        <v>391</v>
      </c>
      <c r="D284" s="8" t="s">
        <v>37</v>
      </c>
      <c r="E284" s="8" t="s">
        <v>30</v>
      </c>
      <c r="F284" s="4">
        <f>DATE(2025,4,4)+TIME(12,40,23)</f>
        <v>45751.52804398148</v>
      </c>
      <c r="G284" s="8" t="s">
        <v>38</v>
      </c>
      <c r="H284" s="13">
        <v>0</v>
      </c>
      <c r="I284" s="13">
        <v>0</v>
      </c>
      <c r="J284" s="8" t="s">
        <v>39</v>
      </c>
      <c r="K284" s="8" t="s">
        <v>40</v>
      </c>
      <c r="L284" s="8"/>
    </row>
    <row r="285" spans="1:12" ht="11.25">
      <c r="A285" s="10" t="s">
        <v>787</v>
      </c>
      <c r="B285" s="7" t="s">
        <v>788</v>
      </c>
      <c r="C285" s="7" t="s">
        <v>789</v>
      </c>
      <c r="D285" s="7" t="s">
        <v>37</v>
      </c>
      <c r="E285" s="7" t="s">
        <v>23</v>
      </c>
      <c r="F285" s="2">
        <f>DATE(2025,4,11)+TIME(16,35,11)</f>
        <v>45758.691099537034</v>
      </c>
      <c r="G285" s="7" t="s">
        <v>38</v>
      </c>
      <c r="H285" s="11">
        <v>770</v>
      </c>
      <c r="I285" s="11">
        <v>770</v>
      </c>
      <c r="J285" s="7" t="s">
        <v>39</v>
      </c>
      <c r="K285" s="7" t="s">
        <v>40</v>
      </c>
      <c r="L285" s="7"/>
    </row>
    <row r="286" spans="1:12" ht="11.25">
      <c r="A286" s="12" t="s">
        <v>790</v>
      </c>
      <c r="B286" s="8" t="s">
        <v>791</v>
      </c>
      <c r="C286" s="8" t="s">
        <v>95</v>
      </c>
      <c r="D286" s="8" t="s">
        <v>37</v>
      </c>
      <c r="E286" s="8" t="s">
        <v>26</v>
      </c>
      <c r="F286" s="4">
        <f>DATE(2025,4,1)+TIME(13,59,45)</f>
        <v>45748.58315972222</v>
      </c>
      <c r="G286" s="8" t="s">
        <v>38</v>
      </c>
      <c r="H286" s="13">
        <v>0</v>
      </c>
      <c r="I286" s="13">
        <v>0</v>
      </c>
      <c r="J286" s="8" t="s">
        <v>39</v>
      </c>
      <c r="K286" s="8" t="s">
        <v>40</v>
      </c>
      <c r="L286" s="8"/>
    </row>
    <row r="287" spans="1:12" ht="11.25">
      <c r="A287" s="10" t="s">
        <v>792</v>
      </c>
      <c r="B287" s="7" t="s">
        <v>793</v>
      </c>
      <c r="C287" s="7" t="s">
        <v>794</v>
      </c>
      <c r="D287" s="7" t="s">
        <v>37</v>
      </c>
      <c r="E287" s="7" t="s">
        <v>26</v>
      </c>
      <c r="F287" s="2">
        <f>DATE(2025,4,8)+TIME(12,7,1)</f>
        <v>45755.50487268518</v>
      </c>
      <c r="G287" s="7" t="s">
        <v>38</v>
      </c>
      <c r="H287" s="11">
        <v>0</v>
      </c>
      <c r="I287" s="11">
        <v>0</v>
      </c>
      <c r="J287" s="7" t="s">
        <v>39</v>
      </c>
      <c r="K287" s="7" t="s">
        <v>40</v>
      </c>
      <c r="L287" s="7"/>
    </row>
    <row r="288" spans="1:12" ht="11.25">
      <c r="A288" s="12" t="s">
        <v>795</v>
      </c>
      <c r="B288" s="8" t="s">
        <v>796</v>
      </c>
      <c r="C288" s="8" t="s">
        <v>797</v>
      </c>
      <c r="D288" s="8" t="s">
        <v>37</v>
      </c>
      <c r="E288" s="8" t="s">
        <v>25</v>
      </c>
      <c r="F288" s="4">
        <f>DATE(2025,1,23)+TIME(9,1,57)</f>
        <v>45680.37635416666</v>
      </c>
      <c r="G288" s="8" t="s">
        <v>38</v>
      </c>
      <c r="H288" s="13">
        <v>0</v>
      </c>
      <c r="I288" s="13">
        <v>150</v>
      </c>
      <c r="J288" s="8" t="s">
        <v>39</v>
      </c>
      <c r="K288" s="8" t="s">
        <v>40</v>
      </c>
      <c r="L288" s="8"/>
    </row>
    <row r="289" spans="1:12" ht="11.25">
      <c r="A289" s="10" t="s">
        <v>798</v>
      </c>
      <c r="B289" s="7" t="s">
        <v>799</v>
      </c>
      <c r="C289" s="7" t="s">
        <v>800</v>
      </c>
      <c r="D289" s="7" t="s">
        <v>37</v>
      </c>
      <c r="E289" s="7" t="s">
        <v>29</v>
      </c>
      <c r="F289" s="2">
        <f>DATE(2025,2,12)+TIME(16,3,31)</f>
        <v>45700.6691087963</v>
      </c>
      <c r="G289" s="7"/>
      <c r="H289" s="11">
        <v>0</v>
      </c>
      <c r="I289" s="11">
        <v>0</v>
      </c>
      <c r="J289" s="7" t="s">
        <v>39</v>
      </c>
      <c r="K289" s="7" t="s">
        <v>40</v>
      </c>
      <c r="L289" s="7" t="s">
        <v>38</v>
      </c>
    </row>
    <row r="290" spans="1:12" ht="11.25">
      <c r="A290" s="12" t="s">
        <v>801</v>
      </c>
      <c r="B290" s="8" t="s">
        <v>802</v>
      </c>
      <c r="C290" s="8" t="s">
        <v>803</v>
      </c>
      <c r="D290" s="8" t="s">
        <v>37</v>
      </c>
      <c r="E290" s="8" t="s">
        <v>30</v>
      </c>
      <c r="F290" s="4">
        <f>DATE(2025,4,7)+TIME(15,52,50)</f>
        <v>45754.66168981481</v>
      </c>
      <c r="G290" s="8" t="s">
        <v>38</v>
      </c>
      <c r="H290" s="13">
        <v>0</v>
      </c>
      <c r="I290" s="13">
        <v>0</v>
      </c>
      <c r="J290" s="8" t="s">
        <v>39</v>
      </c>
      <c r="K290" s="8" t="s">
        <v>40</v>
      </c>
      <c r="L290" s="8"/>
    </row>
    <row r="291" spans="1:12" ht="11.25">
      <c r="A291" s="10" t="s">
        <v>804</v>
      </c>
      <c r="B291" s="7" t="s">
        <v>805</v>
      </c>
      <c r="C291" s="7" t="s">
        <v>806</v>
      </c>
      <c r="D291" s="7" t="s">
        <v>37</v>
      </c>
      <c r="E291" s="7" t="s">
        <v>23</v>
      </c>
      <c r="F291" s="2">
        <f>DATE(2025,1,22)+TIME(12,12,5)</f>
        <v>45679.5083912037</v>
      </c>
      <c r="G291" s="7" t="s">
        <v>38</v>
      </c>
      <c r="H291" s="11">
        <v>450</v>
      </c>
      <c r="I291" s="11">
        <v>450</v>
      </c>
      <c r="J291" s="7" t="s">
        <v>39</v>
      </c>
      <c r="K291" s="7" t="s">
        <v>40</v>
      </c>
      <c r="L291" s="7"/>
    </row>
    <row r="292" spans="1:12" ht="11.25">
      <c r="A292" s="12" t="s">
        <v>807</v>
      </c>
      <c r="B292" s="8" t="s">
        <v>808</v>
      </c>
      <c r="C292" s="8" t="s">
        <v>809</v>
      </c>
      <c r="D292" s="8" t="s">
        <v>37</v>
      </c>
      <c r="E292" s="8" t="s">
        <v>23</v>
      </c>
      <c r="F292" s="4">
        <f>DATE(2025,3,19)+TIME(11,12,47)</f>
        <v>45735.467210648145</v>
      </c>
      <c r="G292" s="8" t="s">
        <v>306</v>
      </c>
      <c r="H292" s="13">
        <v>100</v>
      </c>
      <c r="I292" s="13">
        <v>100</v>
      </c>
      <c r="J292" s="8" t="s">
        <v>39</v>
      </c>
      <c r="K292" s="8" t="s">
        <v>48</v>
      </c>
      <c r="L292" s="8"/>
    </row>
    <row r="293" spans="1:12" ht="11.25">
      <c r="A293" s="10" t="s">
        <v>810</v>
      </c>
      <c r="B293" s="7" t="s">
        <v>811</v>
      </c>
      <c r="C293" s="7" t="s">
        <v>95</v>
      </c>
      <c r="D293" s="7" t="s">
        <v>37</v>
      </c>
      <c r="E293" s="7" t="s">
        <v>24</v>
      </c>
      <c r="F293" s="2">
        <f>DATE(2025,3,28)+TIME(8,39,41)</f>
        <v>45744.3608912037</v>
      </c>
      <c r="G293" s="7" t="s">
        <v>38</v>
      </c>
      <c r="H293" s="11">
        <v>0</v>
      </c>
      <c r="I293" s="11">
        <v>0</v>
      </c>
      <c r="J293" s="7" t="s">
        <v>39</v>
      </c>
      <c r="K293" s="7" t="s">
        <v>40</v>
      </c>
      <c r="L293" s="7"/>
    </row>
    <row r="294" spans="1:12" ht="11.25">
      <c r="A294" s="12" t="s">
        <v>812</v>
      </c>
      <c r="B294" s="8" t="s">
        <v>813</v>
      </c>
      <c r="C294" s="8" t="s">
        <v>814</v>
      </c>
      <c r="D294" s="8" t="s">
        <v>37</v>
      </c>
      <c r="E294" s="8" t="s">
        <v>23</v>
      </c>
      <c r="F294" s="4">
        <f>DATE(2025,3,5)+TIME(18,12,18)</f>
        <v>45721.75854166667</v>
      </c>
      <c r="G294" s="8" t="s">
        <v>154</v>
      </c>
      <c r="H294" s="13">
        <v>100</v>
      </c>
      <c r="I294" s="13">
        <v>100</v>
      </c>
      <c r="J294" s="8" t="s">
        <v>39</v>
      </c>
      <c r="K294" s="8" t="s">
        <v>48</v>
      </c>
      <c r="L294" s="8"/>
    </row>
    <row r="295" spans="1:12" ht="11.25">
      <c r="A295" s="10" t="s">
        <v>815</v>
      </c>
      <c r="B295" s="7" t="s">
        <v>816</v>
      </c>
      <c r="C295" s="7" t="s">
        <v>817</v>
      </c>
      <c r="D295" s="7" t="s">
        <v>37</v>
      </c>
      <c r="E295" s="7" t="s">
        <v>23</v>
      </c>
      <c r="F295" s="2">
        <f>DATE(2025,4,11)+TIME(12,51,52)</f>
        <v>45758.53601851852</v>
      </c>
      <c r="G295" s="7" t="s">
        <v>38</v>
      </c>
      <c r="H295" s="11">
        <v>100</v>
      </c>
      <c r="I295" s="11">
        <v>100</v>
      </c>
      <c r="J295" s="7" t="s">
        <v>39</v>
      </c>
      <c r="K295" s="7" t="s">
        <v>48</v>
      </c>
      <c r="L295" s="7"/>
    </row>
    <row r="296" spans="1:12" ht="11.25">
      <c r="A296" s="12" t="s">
        <v>818</v>
      </c>
      <c r="B296" s="8" t="s">
        <v>819</v>
      </c>
      <c r="C296" s="8" t="s">
        <v>820</v>
      </c>
      <c r="D296" s="8" t="s">
        <v>37</v>
      </c>
      <c r="E296" s="8" t="s">
        <v>24</v>
      </c>
      <c r="F296" s="4">
        <f>DATE(2025,1,27)+TIME(21,0,46)</f>
        <v>45684.87553240741</v>
      </c>
      <c r="G296" s="8" t="s">
        <v>38</v>
      </c>
      <c r="H296" s="13">
        <v>0</v>
      </c>
      <c r="I296" s="13">
        <v>0</v>
      </c>
      <c r="J296" s="8" t="s">
        <v>39</v>
      </c>
      <c r="K296" s="8" t="s">
        <v>40</v>
      </c>
      <c r="L296" s="8"/>
    </row>
    <row r="297" spans="1:12" ht="11.25">
      <c r="A297" s="10" t="s">
        <v>821</v>
      </c>
      <c r="B297" s="7" t="s">
        <v>822</v>
      </c>
      <c r="C297" s="7" t="s">
        <v>823</v>
      </c>
      <c r="D297" s="7" t="s">
        <v>37</v>
      </c>
      <c r="E297" s="7" t="s">
        <v>23</v>
      </c>
      <c r="F297" s="2">
        <f>DATE(2025,3,4)+TIME(17,37,33)</f>
        <v>45720.73440972222</v>
      </c>
      <c r="G297" s="7" t="s">
        <v>38</v>
      </c>
      <c r="H297" s="11">
        <v>200</v>
      </c>
      <c r="I297" s="11">
        <v>200</v>
      </c>
      <c r="J297" s="7" t="s">
        <v>39</v>
      </c>
      <c r="K297" s="7" t="s">
        <v>48</v>
      </c>
      <c r="L297" s="7"/>
    </row>
    <row r="298" spans="1:12" ht="11.25">
      <c r="A298" s="12" t="s">
        <v>824</v>
      </c>
      <c r="B298" s="8" t="s">
        <v>825</v>
      </c>
      <c r="C298" s="8" t="s">
        <v>826</v>
      </c>
      <c r="D298" s="8" t="s">
        <v>37</v>
      </c>
      <c r="E298" s="8" t="s">
        <v>24</v>
      </c>
      <c r="F298" s="4">
        <f>DATE(2025,3,6)+TIME(13,43,13)</f>
        <v>45722.57167824074</v>
      </c>
      <c r="G298" s="8" t="s">
        <v>827</v>
      </c>
      <c r="H298" s="13">
        <v>0</v>
      </c>
      <c r="I298" s="13">
        <v>0</v>
      </c>
      <c r="J298" s="8" t="s">
        <v>39</v>
      </c>
      <c r="K298" s="8" t="s">
        <v>40</v>
      </c>
      <c r="L298" s="8"/>
    </row>
    <row r="299" spans="1:12" ht="11.25">
      <c r="A299" s="10" t="s">
        <v>828</v>
      </c>
      <c r="B299" s="7" t="s">
        <v>829</v>
      </c>
      <c r="C299" s="7" t="s">
        <v>749</v>
      </c>
      <c r="D299" s="7" t="s">
        <v>37</v>
      </c>
      <c r="E299" s="7" t="s">
        <v>24</v>
      </c>
      <c r="F299" s="2">
        <f>DATE(2025,3,3)+TIME(9,29,27)</f>
        <v>45719.39545138889</v>
      </c>
      <c r="G299" s="7" t="s">
        <v>38</v>
      </c>
      <c r="H299" s="11">
        <v>0</v>
      </c>
      <c r="I299" s="11">
        <v>0</v>
      </c>
      <c r="J299" s="7" t="s">
        <v>39</v>
      </c>
      <c r="K299" s="7" t="s">
        <v>40</v>
      </c>
      <c r="L299" s="7"/>
    </row>
    <row r="300" spans="1:12" ht="11.25">
      <c r="A300" s="12" t="s">
        <v>830</v>
      </c>
      <c r="B300" s="8" t="s">
        <v>831</v>
      </c>
      <c r="C300" s="8" t="s">
        <v>67</v>
      </c>
      <c r="D300" s="8" t="s">
        <v>37</v>
      </c>
      <c r="E300" s="8" t="s">
        <v>26</v>
      </c>
      <c r="F300" s="4">
        <f>DATE(2024,11,19)+TIME(15,51,58)</f>
        <v>45615.661087962966</v>
      </c>
      <c r="G300" s="8" t="s">
        <v>38</v>
      </c>
      <c r="H300" s="13">
        <v>0</v>
      </c>
      <c r="I300" s="13">
        <v>0</v>
      </c>
      <c r="J300" s="8" t="s">
        <v>39</v>
      </c>
      <c r="K300" s="8" t="s">
        <v>40</v>
      </c>
      <c r="L300" s="8"/>
    </row>
    <row r="301" spans="1:12" ht="11.25">
      <c r="A301" s="10" t="s">
        <v>832</v>
      </c>
      <c r="B301" s="7" t="s">
        <v>833</v>
      </c>
      <c r="C301" s="7" t="s">
        <v>280</v>
      </c>
      <c r="D301" s="7" t="s">
        <v>37</v>
      </c>
      <c r="E301" s="7" t="s">
        <v>23</v>
      </c>
      <c r="F301" s="2">
        <f>DATE(2025,4,4)+TIME(13,29,10)</f>
        <v>45751.5619212963</v>
      </c>
      <c r="G301" s="7" t="s">
        <v>38</v>
      </c>
      <c r="H301" s="11">
        <v>20</v>
      </c>
      <c r="I301" s="11">
        <v>20</v>
      </c>
      <c r="J301" s="7" t="s">
        <v>39</v>
      </c>
      <c r="K301" s="7" t="s">
        <v>48</v>
      </c>
      <c r="L301" s="7"/>
    </row>
    <row r="302" spans="1:12" ht="11.25">
      <c r="A302" s="12" t="s">
        <v>834</v>
      </c>
      <c r="B302" s="8" t="s">
        <v>835</v>
      </c>
      <c r="C302" s="8" t="s">
        <v>836</v>
      </c>
      <c r="D302" s="8" t="s">
        <v>37</v>
      </c>
      <c r="E302" s="8" t="s">
        <v>24</v>
      </c>
      <c r="F302" s="4">
        <f>DATE(2025,3,21)+TIME(11,32,1)</f>
        <v>45737.48056712963</v>
      </c>
      <c r="G302" s="8" t="s">
        <v>492</v>
      </c>
      <c r="H302" s="13">
        <v>0</v>
      </c>
      <c r="I302" s="13">
        <v>0</v>
      </c>
      <c r="J302" s="8" t="s">
        <v>39</v>
      </c>
      <c r="K302" s="8" t="s">
        <v>40</v>
      </c>
      <c r="L302" s="8"/>
    </row>
    <row r="303" spans="1:12" ht="11.25">
      <c r="A303" s="10" t="s">
        <v>837</v>
      </c>
      <c r="B303" s="7" t="s">
        <v>838</v>
      </c>
      <c r="C303" s="7" t="s">
        <v>54</v>
      </c>
      <c r="D303" s="7" t="s">
        <v>37</v>
      </c>
      <c r="E303" s="7" t="s">
        <v>25</v>
      </c>
      <c r="F303" s="2">
        <f>DATE(2025,1,30)+TIME(13,48,29)</f>
        <v>45687.57533564815</v>
      </c>
      <c r="G303" s="7" t="s">
        <v>38</v>
      </c>
      <c r="H303" s="11">
        <v>0</v>
      </c>
      <c r="I303" s="11">
        <v>150</v>
      </c>
      <c r="J303" s="7" t="s">
        <v>39</v>
      </c>
      <c r="K303" s="7" t="s">
        <v>40</v>
      </c>
      <c r="L303" s="7"/>
    </row>
    <row r="304" spans="1:12" ht="11.25">
      <c r="A304" s="12" t="s">
        <v>839</v>
      </c>
      <c r="B304" s="8" t="s">
        <v>840</v>
      </c>
      <c r="C304" s="8" t="s">
        <v>841</v>
      </c>
      <c r="D304" s="8" t="s">
        <v>37</v>
      </c>
      <c r="E304" s="8" t="s">
        <v>23</v>
      </c>
      <c r="F304" s="4">
        <f>DATE(2025,4,14)+TIME(9,28,28)</f>
        <v>45761.39476851852</v>
      </c>
      <c r="G304" s="8" t="s">
        <v>38</v>
      </c>
      <c r="H304" s="13">
        <v>550</v>
      </c>
      <c r="I304" s="13">
        <v>550</v>
      </c>
      <c r="J304" s="8" t="s">
        <v>39</v>
      </c>
      <c r="K304" s="8" t="s">
        <v>40</v>
      </c>
      <c r="L304" s="8"/>
    </row>
    <row r="305" spans="1:12" ht="11.25">
      <c r="A305" s="10" t="s">
        <v>842</v>
      </c>
      <c r="B305" s="7" t="s">
        <v>843</v>
      </c>
      <c r="C305" s="7" t="s">
        <v>54</v>
      </c>
      <c r="D305" s="7" t="s">
        <v>37</v>
      </c>
      <c r="E305" s="7" t="s">
        <v>25</v>
      </c>
      <c r="F305" s="2">
        <f>DATE(2025,3,29)+TIME(22,46,50)</f>
        <v>45745.94918981481</v>
      </c>
      <c r="G305" s="7" t="s">
        <v>38</v>
      </c>
      <c r="H305" s="11">
        <v>0</v>
      </c>
      <c r="I305" s="11">
        <v>150</v>
      </c>
      <c r="J305" s="7" t="s">
        <v>39</v>
      </c>
      <c r="K305" s="7" t="s">
        <v>40</v>
      </c>
      <c r="L305" s="7"/>
    </row>
    <row r="306" spans="1:12" ht="11.25">
      <c r="A306" s="12" t="s">
        <v>844</v>
      </c>
      <c r="B306" s="8" t="s">
        <v>845</v>
      </c>
      <c r="C306" s="8" t="s">
        <v>54</v>
      </c>
      <c r="D306" s="8" t="s">
        <v>37</v>
      </c>
      <c r="E306" s="8" t="s">
        <v>25</v>
      </c>
      <c r="F306" s="4">
        <f>DATE(2025,2,27)+TIME(15,47,47)</f>
        <v>45715.65818287037</v>
      </c>
      <c r="G306" s="8" t="s">
        <v>38</v>
      </c>
      <c r="H306" s="13">
        <v>0</v>
      </c>
      <c r="I306" s="13">
        <v>150</v>
      </c>
      <c r="J306" s="8" t="s">
        <v>39</v>
      </c>
      <c r="K306" s="8" t="s">
        <v>40</v>
      </c>
      <c r="L306" s="8"/>
    </row>
    <row r="307" spans="1:12" ht="11.25">
      <c r="A307" s="10" t="s">
        <v>846</v>
      </c>
      <c r="B307" s="7" t="s">
        <v>847</v>
      </c>
      <c r="C307" s="7" t="s">
        <v>391</v>
      </c>
      <c r="D307" s="7" t="s">
        <v>37</v>
      </c>
      <c r="E307" s="7" t="s">
        <v>30</v>
      </c>
      <c r="F307" s="2">
        <f>DATE(2025,4,3)+TIME(13,19,29)</f>
        <v>45750.55519675926</v>
      </c>
      <c r="G307" s="7" t="s">
        <v>38</v>
      </c>
      <c r="H307" s="11">
        <v>0</v>
      </c>
      <c r="I307" s="11">
        <v>0</v>
      </c>
      <c r="J307" s="7" t="s">
        <v>39</v>
      </c>
      <c r="K307" s="7" t="s">
        <v>40</v>
      </c>
      <c r="L307" s="7"/>
    </row>
    <row r="308" spans="1:12" ht="11.25">
      <c r="A308" s="12" t="s">
        <v>848</v>
      </c>
      <c r="B308" s="8" t="s">
        <v>849</v>
      </c>
      <c r="C308" s="8" t="s">
        <v>850</v>
      </c>
      <c r="D308" s="8" t="s">
        <v>37</v>
      </c>
      <c r="E308" s="8" t="s">
        <v>27</v>
      </c>
      <c r="F308" s="4">
        <f>DATE(2025,4,13)+TIME(16,22,12)</f>
        <v>45760.68208333333</v>
      </c>
      <c r="G308" s="8" t="s">
        <v>81</v>
      </c>
      <c r="H308" s="13">
        <v>0</v>
      </c>
      <c r="I308" s="13">
        <v>470</v>
      </c>
      <c r="J308" s="8" t="s">
        <v>39</v>
      </c>
      <c r="K308" s="8" t="s">
        <v>40</v>
      </c>
      <c r="L308" s="8"/>
    </row>
    <row r="309" spans="1:12" ht="11.25">
      <c r="A309" s="10" t="s">
        <v>851</v>
      </c>
      <c r="B309" s="7" t="s">
        <v>852</v>
      </c>
      <c r="C309" s="7" t="s">
        <v>185</v>
      </c>
      <c r="D309" s="7" t="s">
        <v>37</v>
      </c>
      <c r="E309" s="7" t="s">
        <v>23</v>
      </c>
      <c r="F309" s="2">
        <f>DATE(2025,4,4)+TIME(8,21,20)</f>
        <v>45751.34814814815</v>
      </c>
      <c r="G309" s="7" t="s">
        <v>81</v>
      </c>
      <c r="H309" s="11">
        <v>550</v>
      </c>
      <c r="I309" s="11">
        <v>550</v>
      </c>
      <c r="J309" s="7" t="s">
        <v>39</v>
      </c>
      <c r="K309" s="7" t="s">
        <v>40</v>
      </c>
      <c r="L309" s="7"/>
    </row>
    <row r="310" spans="1:12" ht="11.25">
      <c r="A310" s="12" t="s">
        <v>853</v>
      </c>
      <c r="B310" s="8" t="s">
        <v>854</v>
      </c>
      <c r="C310" s="8" t="s">
        <v>54</v>
      </c>
      <c r="D310" s="8" t="s">
        <v>37</v>
      </c>
      <c r="E310" s="8" t="s">
        <v>25</v>
      </c>
      <c r="F310" s="4">
        <f>DATE(2025,2,25)+TIME(14,55,27)</f>
        <v>45713.62184027778</v>
      </c>
      <c r="G310" s="8" t="s">
        <v>38</v>
      </c>
      <c r="H310" s="13">
        <v>0</v>
      </c>
      <c r="I310" s="13">
        <v>150</v>
      </c>
      <c r="J310" s="8" t="s">
        <v>39</v>
      </c>
      <c r="K310" s="8" t="s">
        <v>40</v>
      </c>
      <c r="L310" s="8"/>
    </row>
    <row r="311" spans="1:12" ht="11.25">
      <c r="A311" s="10" t="s">
        <v>855</v>
      </c>
      <c r="B311" s="7" t="s">
        <v>856</v>
      </c>
      <c r="C311" s="7" t="s">
        <v>64</v>
      </c>
      <c r="D311" s="7" t="s">
        <v>37</v>
      </c>
      <c r="E311" s="7" t="s">
        <v>23</v>
      </c>
      <c r="F311" s="2">
        <f>DATE(2025,2,27)+TIME(11,36,28)</f>
        <v>45715.48365740741</v>
      </c>
      <c r="G311" s="7" t="s">
        <v>38</v>
      </c>
      <c r="H311" s="11">
        <v>450</v>
      </c>
      <c r="I311" s="11">
        <v>450</v>
      </c>
      <c r="J311" s="7" t="s">
        <v>39</v>
      </c>
      <c r="K311" s="7" t="s">
        <v>40</v>
      </c>
      <c r="L311" s="7"/>
    </row>
    <row r="312" spans="1:12" ht="11.25">
      <c r="A312" s="12" t="s">
        <v>857</v>
      </c>
      <c r="B312" s="8" t="s">
        <v>858</v>
      </c>
      <c r="C312" s="8" t="s">
        <v>859</v>
      </c>
      <c r="D312" s="8" t="s">
        <v>37</v>
      </c>
      <c r="E312" s="8" t="s">
        <v>24</v>
      </c>
      <c r="F312" s="4">
        <f>DATE(2025,3,4)+TIME(13,50,10)</f>
        <v>45720.57650462963</v>
      </c>
      <c r="G312" s="8" t="s">
        <v>38</v>
      </c>
      <c r="H312" s="13">
        <v>0</v>
      </c>
      <c r="I312" s="13">
        <v>0</v>
      </c>
      <c r="J312" s="8" t="s">
        <v>39</v>
      </c>
      <c r="K312" s="8" t="s">
        <v>40</v>
      </c>
      <c r="L312" s="8"/>
    </row>
    <row r="313" spans="1:12" ht="11.25">
      <c r="A313" s="10" t="s">
        <v>860</v>
      </c>
      <c r="B313" s="7" t="s">
        <v>861</v>
      </c>
      <c r="C313" s="7" t="s">
        <v>383</v>
      </c>
      <c r="D313" s="7" t="s">
        <v>37</v>
      </c>
      <c r="E313" s="7" t="s">
        <v>24</v>
      </c>
      <c r="F313" s="2">
        <f>DATE(2025,1,22)+TIME(22,23,38)</f>
        <v>45679.9330787037</v>
      </c>
      <c r="G313" s="7" t="s">
        <v>862</v>
      </c>
      <c r="H313" s="11">
        <v>0</v>
      </c>
      <c r="I313" s="11">
        <v>0</v>
      </c>
      <c r="J313" s="7" t="s">
        <v>39</v>
      </c>
      <c r="K313" s="7" t="s">
        <v>40</v>
      </c>
      <c r="L313" s="7"/>
    </row>
    <row r="314" spans="1:12" ht="11.25">
      <c r="A314" s="12" t="s">
        <v>863</v>
      </c>
      <c r="B314" s="8" t="s">
        <v>864</v>
      </c>
      <c r="C314" s="8" t="s">
        <v>54</v>
      </c>
      <c r="D314" s="8" t="s">
        <v>37</v>
      </c>
      <c r="E314" s="8" t="s">
        <v>24</v>
      </c>
      <c r="F314" s="4">
        <f>DATE(2025,1,14)+TIME(10,27,21)</f>
        <v>45671.43565972222</v>
      </c>
      <c r="G314" s="8" t="s">
        <v>38</v>
      </c>
      <c r="H314" s="13">
        <v>0</v>
      </c>
      <c r="I314" s="13">
        <v>0</v>
      </c>
      <c r="J314" s="8" t="s">
        <v>39</v>
      </c>
      <c r="K314" s="8" t="s">
        <v>40</v>
      </c>
      <c r="L314" s="8" t="s">
        <v>38</v>
      </c>
    </row>
    <row r="315" spans="1:12" ht="11.25">
      <c r="A315" s="10" t="s">
        <v>865</v>
      </c>
      <c r="B315" s="7" t="s">
        <v>866</v>
      </c>
      <c r="C315" s="7" t="s">
        <v>867</v>
      </c>
      <c r="D315" s="7" t="s">
        <v>37</v>
      </c>
      <c r="E315" s="7" t="s">
        <v>23</v>
      </c>
      <c r="F315" s="2">
        <f>DATE(2025,3,3)+TIME(15,17,42)</f>
        <v>45719.637291666666</v>
      </c>
      <c r="G315" s="7" t="s">
        <v>38</v>
      </c>
      <c r="H315" s="11">
        <v>450</v>
      </c>
      <c r="I315" s="11">
        <v>450</v>
      </c>
      <c r="J315" s="7" t="s">
        <v>39</v>
      </c>
      <c r="K315" s="7" t="s">
        <v>40</v>
      </c>
      <c r="L315" s="7"/>
    </row>
    <row r="316" spans="1:12" ht="11.25">
      <c r="A316" s="12" t="s">
        <v>868</v>
      </c>
      <c r="B316" s="8" t="s">
        <v>869</v>
      </c>
      <c r="C316" s="8" t="s">
        <v>870</v>
      </c>
      <c r="D316" s="8" t="s">
        <v>37</v>
      </c>
      <c r="E316" s="8" t="s">
        <v>27</v>
      </c>
      <c r="F316" s="4">
        <f>DATE(2025,4,12)+TIME(17,51,56)</f>
        <v>45759.74439814815</v>
      </c>
      <c r="G316" s="8" t="s">
        <v>81</v>
      </c>
      <c r="H316" s="13">
        <v>0</v>
      </c>
      <c r="I316" s="13">
        <v>350</v>
      </c>
      <c r="J316" s="8" t="s">
        <v>39</v>
      </c>
      <c r="K316" s="8" t="s">
        <v>40</v>
      </c>
      <c r="L316" s="8"/>
    </row>
    <row r="317" spans="1:12" ht="11.25">
      <c r="A317" s="10" t="s">
        <v>871</v>
      </c>
      <c r="B317" s="7" t="s">
        <v>872</v>
      </c>
      <c r="C317" s="7" t="s">
        <v>873</v>
      </c>
      <c r="D317" s="7" t="s">
        <v>37</v>
      </c>
      <c r="E317" s="7" t="s">
        <v>27</v>
      </c>
      <c r="F317" s="2">
        <f>DATE(2025,2,6)+TIME(14,10,29)</f>
        <v>45694.59061342593</v>
      </c>
      <c r="G317" s="7" t="s">
        <v>38</v>
      </c>
      <c r="H317" s="11">
        <v>350</v>
      </c>
      <c r="I317" s="11">
        <v>350</v>
      </c>
      <c r="J317" s="7" t="s">
        <v>39</v>
      </c>
      <c r="K317" s="7" t="s">
        <v>40</v>
      </c>
      <c r="L317" s="7"/>
    </row>
    <row r="318" spans="1:12" ht="11.25">
      <c r="A318" s="12" t="s">
        <v>874</v>
      </c>
      <c r="B318" s="8" t="s">
        <v>875</v>
      </c>
      <c r="C318" s="8" t="s">
        <v>722</v>
      </c>
      <c r="D318" s="8" t="s">
        <v>37</v>
      </c>
      <c r="E318" s="8" t="s">
        <v>23</v>
      </c>
      <c r="F318" s="4">
        <f>DATE(2025,3,10)+TIME(14,13,26)</f>
        <v>45726.59266203704</v>
      </c>
      <c r="G318" s="8" t="s">
        <v>38</v>
      </c>
      <c r="H318" s="13">
        <v>550</v>
      </c>
      <c r="I318" s="13">
        <v>550</v>
      </c>
      <c r="J318" s="8" t="s">
        <v>39</v>
      </c>
      <c r="K318" s="8" t="s">
        <v>40</v>
      </c>
      <c r="L318" s="8"/>
    </row>
    <row r="319" spans="1:12" ht="11.25">
      <c r="A319" s="10" t="s">
        <v>876</v>
      </c>
      <c r="B319" s="7" t="s">
        <v>877</v>
      </c>
      <c r="C319" s="7" t="s">
        <v>54</v>
      </c>
      <c r="D319" s="7" t="s">
        <v>37</v>
      </c>
      <c r="E319" s="7" t="s">
        <v>24</v>
      </c>
      <c r="F319" s="2">
        <f>DATE(2025,2,12)+TIME(17,59,10)</f>
        <v>45700.7494212963</v>
      </c>
      <c r="G319" s="7" t="s">
        <v>38</v>
      </c>
      <c r="H319" s="11">
        <v>0</v>
      </c>
      <c r="I319" s="11">
        <v>0</v>
      </c>
      <c r="J319" s="7" t="s">
        <v>39</v>
      </c>
      <c r="K319" s="7" t="s">
        <v>40</v>
      </c>
      <c r="L319" s="7"/>
    </row>
    <row r="320" spans="1:12" ht="11.25">
      <c r="A320" s="12" t="s">
        <v>878</v>
      </c>
      <c r="B320" s="8" t="s">
        <v>879</v>
      </c>
      <c r="C320" s="8" t="s">
        <v>880</v>
      </c>
      <c r="D320" s="8" t="s">
        <v>37</v>
      </c>
      <c r="E320" s="8" t="s">
        <v>23</v>
      </c>
      <c r="F320" s="4">
        <f>DATE(2025,4,9)+TIME(10,8,15)</f>
        <v>45756.42239583333</v>
      </c>
      <c r="G320" s="8" t="s">
        <v>38</v>
      </c>
      <c r="H320" s="13">
        <v>100</v>
      </c>
      <c r="I320" s="13">
        <v>100</v>
      </c>
      <c r="J320" s="8" t="s">
        <v>39</v>
      </c>
      <c r="K320" s="8" t="s">
        <v>48</v>
      </c>
      <c r="L320" s="8"/>
    </row>
    <row r="321" spans="1:12" ht="11.25">
      <c r="A321" s="10" t="s">
        <v>881</v>
      </c>
      <c r="B321" s="7" t="s">
        <v>882</v>
      </c>
      <c r="C321" s="7" t="s">
        <v>287</v>
      </c>
      <c r="D321" s="7" t="s">
        <v>37</v>
      </c>
      <c r="E321" s="7" t="s">
        <v>25</v>
      </c>
      <c r="F321" s="2">
        <f>DATE(2025,2,3)+TIME(11,24,32)</f>
        <v>45691.47537037037</v>
      </c>
      <c r="G321" s="7" t="s">
        <v>38</v>
      </c>
      <c r="H321" s="11">
        <v>150</v>
      </c>
      <c r="I321" s="11">
        <v>150</v>
      </c>
      <c r="J321" s="7" t="s">
        <v>39</v>
      </c>
      <c r="K321" s="7" t="s">
        <v>40</v>
      </c>
      <c r="L321" s="7"/>
    </row>
    <row r="322" spans="1:12" ht="11.25">
      <c r="A322" s="12" t="s">
        <v>883</v>
      </c>
      <c r="B322" s="8" t="s">
        <v>884</v>
      </c>
      <c r="C322" s="8" t="s">
        <v>885</v>
      </c>
      <c r="D322" s="8" t="s">
        <v>37</v>
      </c>
      <c r="E322" s="8" t="s">
        <v>24</v>
      </c>
      <c r="F322" s="4">
        <f>DATE(2025,1,22)+TIME(10,55,47)</f>
        <v>45679.455405092594</v>
      </c>
      <c r="G322" s="8" t="s">
        <v>38</v>
      </c>
      <c r="H322" s="13">
        <v>0</v>
      </c>
      <c r="I322" s="13">
        <v>0</v>
      </c>
      <c r="J322" s="8" t="s">
        <v>39</v>
      </c>
      <c r="K322" s="8" t="s">
        <v>40</v>
      </c>
      <c r="L322" s="8"/>
    </row>
    <row r="323" spans="1:12" ht="11.25">
      <c r="A323" s="10" t="s">
        <v>886</v>
      </c>
      <c r="B323" s="7" t="s">
        <v>887</v>
      </c>
      <c r="C323" s="7" t="s">
        <v>888</v>
      </c>
      <c r="D323" s="7" t="s">
        <v>37</v>
      </c>
      <c r="E323" s="7" t="s">
        <v>26</v>
      </c>
      <c r="F323" s="2">
        <f>DATE(2024,11,27)+TIME(12,1,2)</f>
        <v>45623.50071759259</v>
      </c>
      <c r="G323" s="7" t="s">
        <v>38</v>
      </c>
      <c r="H323" s="11">
        <v>0</v>
      </c>
      <c r="I323" s="11">
        <v>0</v>
      </c>
      <c r="J323" s="7" t="s">
        <v>39</v>
      </c>
      <c r="K323" s="7" t="s">
        <v>40</v>
      </c>
      <c r="L323" s="7" t="s">
        <v>38</v>
      </c>
    </row>
    <row r="324" spans="1:12" ht="11.25">
      <c r="A324" s="12" t="s">
        <v>889</v>
      </c>
      <c r="B324" s="8" t="s">
        <v>890</v>
      </c>
      <c r="C324" s="8" t="s">
        <v>54</v>
      </c>
      <c r="D324" s="8" t="s">
        <v>37</v>
      </c>
      <c r="E324" s="8" t="s">
        <v>24</v>
      </c>
      <c r="F324" s="4">
        <f>DATE(2025,3,14)+TIME(15,41,36)</f>
        <v>45730.65388888889</v>
      </c>
      <c r="G324" s="8" t="s">
        <v>38</v>
      </c>
      <c r="H324" s="13">
        <v>-150</v>
      </c>
      <c r="I324" s="13">
        <v>0</v>
      </c>
      <c r="J324" s="8" t="s">
        <v>39</v>
      </c>
      <c r="K324" s="8" t="s">
        <v>40</v>
      </c>
      <c r="L324" s="8"/>
    </row>
    <row r="325" spans="1:12" ht="11.25">
      <c r="A325" s="10" t="s">
        <v>891</v>
      </c>
      <c r="B325" s="7" t="s">
        <v>892</v>
      </c>
      <c r="C325" s="7" t="s">
        <v>302</v>
      </c>
      <c r="D325" s="7" t="s">
        <v>37</v>
      </c>
      <c r="E325" s="7" t="s">
        <v>28</v>
      </c>
      <c r="F325" s="2">
        <f>DATE(2025,4,10)+TIME(13,30,19)</f>
        <v>45757.56271990741</v>
      </c>
      <c r="G325" s="7" t="s">
        <v>38</v>
      </c>
      <c r="H325" s="11">
        <v>0</v>
      </c>
      <c r="I325" s="11">
        <v>250</v>
      </c>
      <c r="J325" s="7" t="s">
        <v>39</v>
      </c>
      <c r="K325" s="7" t="s">
        <v>40</v>
      </c>
      <c r="L325" s="7"/>
    </row>
    <row r="326" spans="1:12" ht="11.25">
      <c r="A326" s="12" t="s">
        <v>893</v>
      </c>
      <c r="B326" s="8" t="s">
        <v>894</v>
      </c>
      <c r="C326" s="8" t="s">
        <v>77</v>
      </c>
      <c r="D326" s="8" t="s">
        <v>37</v>
      </c>
      <c r="E326" s="8" t="s">
        <v>23</v>
      </c>
      <c r="F326" s="4">
        <f>DATE(2025,4,12)+TIME(10,22,53)</f>
        <v>45759.43255787037</v>
      </c>
      <c r="G326" s="8" t="s">
        <v>38</v>
      </c>
      <c r="H326" s="13">
        <v>100</v>
      </c>
      <c r="I326" s="13">
        <v>100</v>
      </c>
      <c r="J326" s="8" t="s">
        <v>39</v>
      </c>
      <c r="K326" s="8" t="s">
        <v>48</v>
      </c>
      <c r="L326" s="8"/>
    </row>
    <row r="327" spans="1:12" ht="11.25">
      <c r="A327" s="10" t="s">
        <v>895</v>
      </c>
      <c r="B327" s="7" t="s">
        <v>896</v>
      </c>
      <c r="C327" s="7" t="s">
        <v>897</v>
      </c>
      <c r="D327" s="7" t="s">
        <v>37</v>
      </c>
      <c r="E327" s="7" t="s">
        <v>23</v>
      </c>
      <c r="F327" s="2">
        <f>DATE(2025,2,11)+TIME(12,59,12)</f>
        <v>45699.54111111111</v>
      </c>
      <c r="G327" s="7" t="s">
        <v>38</v>
      </c>
      <c r="H327" s="11">
        <v>450</v>
      </c>
      <c r="I327" s="11">
        <v>450</v>
      </c>
      <c r="J327" s="7" t="s">
        <v>39</v>
      </c>
      <c r="K327" s="7" t="s">
        <v>40</v>
      </c>
      <c r="L327" s="7"/>
    </row>
    <row r="328" spans="1:12" ht="11.25">
      <c r="A328" s="12" t="s">
        <v>898</v>
      </c>
      <c r="B328" s="8" t="s">
        <v>899</v>
      </c>
      <c r="C328" s="8" t="s">
        <v>900</v>
      </c>
      <c r="D328" s="8" t="s">
        <v>37</v>
      </c>
      <c r="E328" s="8" t="s">
        <v>23</v>
      </c>
      <c r="F328" s="4">
        <f>DATE(2025,4,3)+TIME(13,49,16)</f>
        <v>45750.57587962963</v>
      </c>
      <c r="G328" s="8" t="s">
        <v>38</v>
      </c>
      <c r="H328" s="13">
        <v>650</v>
      </c>
      <c r="I328" s="13">
        <v>650</v>
      </c>
      <c r="J328" s="8" t="s">
        <v>39</v>
      </c>
      <c r="K328" s="8" t="s">
        <v>40</v>
      </c>
      <c r="L328" s="8"/>
    </row>
    <row r="329" spans="1:12" ht="11.25">
      <c r="A329" s="10" t="s">
        <v>901</v>
      </c>
      <c r="B329" s="7" t="s">
        <v>902</v>
      </c>
      <c r="C329" s="7" t="s">
        <v>903</v>
      </c>
      <c r="D329" s="7" t="s">
        <v>37</v>
      </c>
      <c r="E329" s="7" t="s">
        <v>23</v>
      </c>
      <c r="F329" s="2">
        <f>DATE(2025,1,16)+TIME(14,37,45)</f>
        <v>45673.60954861111</v>
      </c>
      <c r="G329" s="7" t="s">
        <v>38</v>
      </c>
      <c r="H329" s="11">
        <v>550</v>
      </c>
      <c r="I329" s="11">
        <v>550</v>
      </c>
      <c r="J329" s="7" t="s">
        <v>39</v>
      </c>
      <c r="K329" s="7" t="s">
        <v>40</v>
      </c>
      <c r="L329" s="7"/>
    </row>
    <row r="330" spans="1:12" ht="11.25">
      <c r="A330" s="12" t="s">
        <v>904</v>
      </c>
      <c r="B330" s="8" t="s">
        <v>905</v>
      </c>
      <c r="C330" s="8" t="s">
        <v>906</v>
      </c>
      <c r="D330" s="8" t="s">
        <v>37</v>
      </c>
      <c r="E330" s="8" t="s">
        <v>24</v>
      </c>
      <c r="F330" s="4">
        <f>DATE(2025,2,24)+TIME(11,7,51)</f>
        <v>45712.463784722226</v>
      </c>
      <c r="G330" s="8" t="s">
        <v>38</v>
      </c>
      <c r="H330" s="13">
        <v>0</v>
      </c>
      <c r="I330" s="13">
        <v>0</v>
      </c>
      <c r="J330" s="8" t="s">
        <v>39</v>
      </c>
      <c r="K330" s="8" t="s">
        <v>40</v>
      </c>
      <c r="L330" s="8"/>
    </row>
    <row r="331" spans="1:12" ht="11.25">
      <c r="A331" s="10" t="s">
        <v>907</v>
      </c>
      <c r="B331" s="7" t="s">
        <v>908</v>
      </c>
      <c r="C331" s="7" t="s">
        <v>909</v>
      </c>
      <c r="D331" s="7" t="s">
        <v>37</v>
      </c>
      <c r="E331" s="7" t="s">
        <v>24</v>
      </c>
      <c r="F331" s="2">
        <f>DATE(2025,2,23)+TIME(16,14,27)</f>
        <v>45711.67670138889</v>
      </c>
      <c r="G331" s="7" t="s">
        <v>492</v>
      </c>
      <c r="H331" s="11">
        <v>0</v>
      </c>
      <c r="I331" s="11">
        <v>0</v>
      </c>
      <c r="J331" s="7" t="s">
        <v>39</v>
      </c>
      <c r="K331" s="7" t="s">
        <v>40</v>
      </c>
      <c r="L331" s="7"/>
    </row>
    <row r="332" spans="1:12" ht="11.25">
      <c r="A332" s="12" t="s">
        <v>910</v>
      </c>
      <c r="B332" s="8" t="s">
        <v>911</v>
      </c>
      <c r="C332" s="8" t="s">
        <v>912</v>
      </c>
      <c r="D332" s="8" t="s">
        <v>37</v>
      </c>
      <c r="E332" s="8" t="s">
        <v>24</v>
      </c>
      <c r="F332" s="4">
        <f>DATE(2025,3,14)+TIME(11,3,25)</f>
        <v>45730.460706018515</v>
      </c>
      <c r="G332" s="8" t="s">
        <v>38</v>
      </c>
      <c r="H332" s="13">
        <v>0</v>
      </c>
      <c r="I332" s="13">
        <v>0</v>
      </c>
      <c r="J332" s="8" t="s">
        <v>39</v>
      </c>
      <c r="K332" s="8" t="s">
        <v>40</v>
      </c>
      <c r="L332" s="8"/>
    </row>
    <row r="333" spans="1:12" ht="11.25">
      <c r="A333" s="10" t="s">
        <v>913</v>
      </c>
      <c r="B333" s="7" t="s">
        <v>914</v>
      </c>
      <c r="C333" s="7" t="s">
        <v>54</v>
      </c>
      <c r="D333" s="7" t="s">
        <v>37</v>
      </c>
      <c r="E333" s="7" t="s">
        <v>25</v>
      </c>
      <c r="F333" s="2">
        <f>DATE(2025,4,7)+TIME(14,40,19)</f>
        <v>45754.61133101852</v>
      </c>
      <c r="G333" s="7" t="s">
        <v>38</v>
      </c>
      <c r="H333" s="11">
        <v>0</v>
      </c>
      <c r="I333" s="11">
        <v>150</v>
      </c>
      <c r="J333" s="7" t="s">
        <v>39</v>
      </c>
      <c r="K333" s="7" t="s">
        <v>40</v>
      </c>
      <c r="L333" s="7" t="s">
        <v>38</v>
      </c>
    </row>
    <row r="334" spans="1:12" ht="11.25">
      <c r="A334" s="12" t="s">
        <v>915</v>
      </c>
      <c r="B334" s="8" t="s">
        <v>916</v>
      </c>
      <c r="C334" s="8" t="s">
        <v>54</v>
      </c>
      <c r="D334" s="8" t="s">
        <v>37</v>
      </c>
      <c r="E334" s="8" t="s">
        <v>25</v>
      </c>
      <c r="F334" s="4">
        <f>DATE(2025,4,11)+TIME(14,17,6)</f>
        <v>45758.59520833333</v>
      </c>
      <c r="G334" s="8" t="s">
        <v>38</v>
      </c>
      <c r="H334" s="13">
        <v>150</v>
      </c>
      <c r="I334" s="13">
        <v>150</v>
      </c>
      <c r="J334" s="8" t="s">
        <v>39</v>
      </c>
      <c r="K334" s="8" t="s">
        <v>40</v>
      </c>
      <c r="L334" s="8"/>
    </row>
    <row r="335" spans="1:12" ht="11.25">
      <c r="A335" s="10" t="s">
        <v>917</v>
      </c>
      <c r="B335" s="7" t="s">
        <v>918</v>
      </c>
      <c r="C335" s="7" t="s">
        <v>826</v>
      </c>
      <c r="D335" s="7" t="s">
        <v>37</v>
      </c>
      <c r="E335" s="7" t="s">
        <v>24</v>
      </c>
      <c r="F335" s="2">
        <f>DATE(2025,3,13)+TIME(16,7,19)</f>
        <v>45729.671747685185</v>
      </c>
      <c r="G335" s="7" t="s">
        <v>862</v>
      </c>
      <c r="H335" s="11">
        <v>0</v>
      </c>
      <c r="I335" s="11">
        <v>0</v>
      </c>
      <c r="J335" s="7" t="s">
        <v>39</v>
      </c>
      <c r="K335" s="7" t="s">
        <v>40</v>
      </c>
      <c r="L335" s="7"/>
    </row>
    <row r="336" spans="1:12" ht="11.25">
      <c r="A336" s="12" t="s">
        <v>919</v>
      </c>
      <c r="B336" s="8" t="s">
        <v>920</v>
      </c>
      <c r="C336" s="8" t="s">
        <v>921</v>
      </c>
      <c r="D336" s="8" t="s">
        <v>37</v>
      </c>
      <c r="E336" s="8" t="s">
        <v>24</v>
      </c>
      <c r="F336" s="4">
        <f>DATE(2025,4,6)+TIME(10,52,31)</f>
        <v>45753.45313657408</v>
      </c>
      <c r="G336" s="8" t="s">
        <v>922</v>
      </c>
      <c r="H336" s="13">
        <v>0</v>
      </c>
      <c r="I336" s="13">
        <v>0</v>
      </c>
      <c r="J336" s="8" t="s">
        <v>39</v>
      </c>
      <c r="K336" s="8" t="s">
        <v>40</v>
      </c>
      <c r="L336" s="8"/>
    </row>
    <row r="337" spans="1:12" ht="11.25">
      <c r="A337" s="10" t="s">
        <v>923</v>
      </c>
      <c r="B337" s="7" t="s">
        <v>924</v>
      </c>
      <c r="C337" s="7" t="s">
        <v>326</v>
      </c>
      <c r="D337" s="7" t="s">
        <v>37</v>
      </c>
      <c r="E337" s="7" t="s">
        <v>27</v>
      </c>
      <c r="F337" s="2">
        <f>DATE(2025,4,13)+TIME(16,59,13)</f>
        <v>45760.70778935185</v>
      </c>
      <c r="G337" s="7" t="s">
        <v>81</v>
      </c>
      <c r="H337" s="11">
        <v>0</v>
      </c>
      <c r="I337" s="11">
        <v>470</v>
      </c>
      <c r="J337" s="7" t="s">
        <v>39</v>
      </c>
      <c r="K337" s="7" t="s">
        <v>40</v>
      </c>
      <c r="L337" s="7"/>
    </row>
    <row r="338" spans="1:12" ht="11.25">
      <c r="A338" s="12" t="s">
        <v>925</v>
      </c>
      <c r="B338" s="8" t="s">
        <v>926</v>
      </c>
      <c r="C338" s="8" t="s">
        <v>249</v>
      </c>
      <c r="D338" s="8" t="s">
        <v>37</v>
      </c>
      <c r="E338" s="8" t="s">
        <v>24</v>
      </c>
      <c r="F338" s="4">
        <f>DATE(2024,12,19)+TIME(14,43,48)</f>
        <v>45645.61375</v>
      </c>
      <c r="G338" s="8" t="s">
        <v>38</v>
      </c>
      <c r="H338" s="13">
        <v>0</v>
      </c>
      <c r="I338" s="13">
        <v>0</v>
      </c>
      <c r="J338" s="8" t="s">
        <v>39</v>
      </c>
      <c r="K338" s="8" t="s">
        <v>40</v>
      </c>
      <c r="L338" s="8"/>
    </row>
    <row r="339" spans="1:12" ht="11.25">
      <c r="A339" s="10" t="s">
        <v>927</v>
      </c>
      <c r="B339" s="7" t="s">
        <v>928</v>
      </c>
      <c r="C339" s="7" t="s">
        <v>929</v>
      </c>
      <c r="D339" s="7" t="s">
        <v>37</v>
      </c>
      <c r="E339" s="7" t="s">
        <v>27</v>
      </c>
      <c r="F339" s="2">
        <f>DATE(2025,4,13)+TIME(16,37,23)</f>
        <v>45760.69262731481</v>
      </c>
      <c r="G339" s="7" t="s">
        <v>81</v>
      </c>
      <c r="H339" s="11">
        <v>0</v>
      </c>
      <c r="I339" s="11">
        <v>470</v>
      </c>
      <c r="J339" s="7" t="s">
        <v>39</v>
      </c>
      <c r="K339" s="7" t="s">
        <v>40</v>
      </c>
      <c r="L339" s="7"/>
    </row>
    <row r="340" spans="1:12" ht="11.25">
      <c r="A340" s="12" t="s">
        <v>930</v>
      </c>
      <c r="B340" s="8" t="s">
        <v>931</v>
      </c>
      <c r="C340" s="8" t="s">
        <v>932</v>
      </c>
      <c r="D340" s="8" t="s">
        <v>37</v>
      </c>
      <c r="E340" s="8" t="s">
        <v>29</v>
      </c>
      <c r="F340" s="4">
        <f>DATE(2025,2,11)+TIME(15,21,4)</f>
        <v>45699.63962962963</v>
      </c>
      <c r="G340" s="8" t="s">
        <v>38</v>
      </c>
      <c r="H340" s="13">
        <v>0</v>
      </c>
      <c r="I340" s="13">
        <v>0</v>
      </c>
      <c r="J340" s="8" t="s">
        <v>39</v>
      </c>
      <c r="K340" s="8" t="s">
        <v>40</v>
      </c>
      <c r="L340" s="8" t="s">
        <v>38</v>
      </c>
    </row>
    <row r="341" spans="1:12" ht="11.25">
      <c r="A341" s="10" t="s">
        <v>933</v>
      </c>
      <c r="B341" s="7" t="s">
        <v>934</v>
      </c>
      <c r="C341" s="7" t="s">
        <v>935</v>
      </c>
      <c r="D341" s="7" t="s">
        <v>37</v>
      </c>
      <c r="E341" s="7" t="s">
        <v>27</v>
      </c>
      <c r="F341" s="2">
        <f>DATE(2025,4,13)+TIME(16,1,18)</f>
        <v>45760.66756944444</v>
      </c>
      <c r="G341" s="7" t="s">
        <v>81</v>
      </c>
      <c r="H341" s="11">
        <v>0</v>
      </c>
      <c r="I341" s="11">
        <v>470</v>
      </c>
      <c r="J341" s="7" t="s">
        <v>39</v>
      </c>
      <c r="K341" s="7" t="s">
        <v>40</v>
      </c>
      <c r="L341" s="7"/>
    </row>
    <row r="342" spans="1:12" ht="11.25">
      <c r="A342" s="12" t="s">
        <v>936</v>
      </c>
      <c r="B342" s="8" t="s">
        <v>937</v>
      </c>
      <c r="C342" s="8" t="s">
        <v>935</v>
      </c>
      <c r="D342" s="8" t="s">
        <v>37</v>
      </c>
      <c r="E342" s="8" t="s">
        <v>27</v>
      </c>
      <c r="F342" s="4">
        <f>DATE(2025,4,13)+TIME(16,34,0)</f>
        <v>45760.69027777778</v>
      </c>
      <c r="G342" s="8" t="s">
        <v>81</v>
      </c>
      <c r="H342" s="13">
        <v>0</v>
      </c>
      <c r="I342" s="13">
        <v>470</v>
      </c>
      <c r="J342" s="8" t="s">
        <v>39</v>
      </c>
      <c r="K342" s="8" t="s">
        <v>40</v>
      </c>
      <c r="L342" s="8"/>
    </row>
    <row r="343" spans="1:12" ht="11.25">
      <c r="A343" s="10" t="s">
        <v>938</v>
      </c>
      <c r="B343" s="7" t="s">
        <v>939</v>
      </c>
      <c r="C343" s="7" t="s">
        <v>940</v>
      </c>
      <c r="D343" s="7" t="s">
        <v>37</v>
      </c>
      <c r="E343" s="7" t="s">
        <v>24</v>
      </c>
      <c r="F343" s="2">
        <f>DATE(2025,3,26)+TIME(10,44,25)</f>
        <v>45742.44751157407</v>
      </c>
      <c r="G343" s="7" t="s">
        <v>38</v>
      </c>
      <c r="H343" s="11">
        <v>0</v>
      </c>
      <c r="I343" s="11">
        <v>0</v>
      </c>
      <c r="J343" s="7" t="s">
        <v>39</v>
      </c>
      <c r="K343" s="7" t="s">
        <v>40</v>
      </c>
      <c r="L343" s="7"/>
    </row>
    <row r="344" spans="1:12" ht="11.25">
      <c r="A344" s="12" t="s">
        <v>941</v>
      </c>
      <c r="B344" s="8" t="s">
        <v>942</v>
      </c>
      <c r="C344" s="8" t="s">
        <v>54</v>
      </c>
      <c r="D344" s="8" t="s">
        <v>37</v>
      </c>
      <c r="E344" s="8" t="s">
        <v>24</v>
      </c>
      <c r="F344" s="4">
        <f>DATE(2025,3,28)+TIME(14,13,49)</f>
        <v>45744.59292824074</v>
      </c>
      <c r="G344" s="8" t="s">
        <v>38</v>
      </c>
      <c r="H344" s="13">
        <v>0</v>
      </c>
      <c r="I344" s="13">
        <v>0</v>
      </c>
      <c r="J344" s="8" t="s">
        <v>39</v>
      </c>
      <c r="K344" s="8" t="s">
        <v>40</v>
      </c>
      <c r="L344" s="8"/>
    </row>
    <row r="345" spans="1:12" ht="11.25">
      <c r="A345" s="10" t="s">
        <v>943</v>
      </c>
      <c r="B345" s="7" t="s">
        <v>944</v>
      </c>
      <c r="C345" s="7" t="s">
        <v>749</v>
      </c>
      <c r="D345" s="7" t="s">
        <v>37</v>
      </c>
      <c r="E345" s="7" t="s">
        <v>23</v>
      </c>
      <c r="F345" s="2">
        <f>DATE(2025,3,4)+TIME(15,29,7)</f>
        <v>45720.645219907405</v>
      </c>
      <c r="G345" s="7" t="s">
        <v>38</v>
      </c>
      <c r="H345" s="11">
        <v>450</v>
      </c>
      <c r="I345" s="11">
        <v>450</v>
      </c>
      <c r="J345" s="7" t="s">
        <v>39</v>
      </c>
      <c r="K345" s="7" t="s">
        <v>40</v>
      </c>
      <c r="L345" s="7"/>
    </row>
    <row r="346" spans="1:12" ht="11.25">
      <c r="A346" s="12" t="s">
        <v>945</v>
      </c>
      <c r="B346" s="8" t="s">
        <v>946</v>
      </c>
      <c r="C346" s="8" t="s">
        <v>947</v>
      </c>
      <c r="D346" s="8" t="s">
        <v>37</v>
      </c>
      <c r="E346" s="8" t="s">
        <v>23</v>
      </c>
      <c r="F346" s="4">
        <f>DATE(2024,12,2)+TIME(15,6,57)</f>
        <v>45628.62982638889</v>
      </c>
      <c r="G346" s="8" t="s">
        <v>38</v>
      </c>
      <c r="H346" s="13">
        <v>650</v>
      </c>
      <c r="I346" s="13">
        <v>650</v>
      </c>
      <c r="J346" s="8" t="s">
        <v>39</v>
      </c>
      <c r="K346" s="8" t="s">
        <v>40</v>
      </c>
      <c r="L346" s="8"/>
    </row>
    <row r="347" spans="1:12" ht="11.25">
      <c r="A347" s="10" t="s">
        <v>948</v>
      </c>
      <c r="B347" s="7" t="s">
        <v>949</v>
      </c>
      <c r="C347" s="7" t="s">
        <v>950</v>
      </c>
      <c r="D347" s="7" t="s">
        <v>37</v>
      </c>
      <c r="E347" s="7" t="s">
        <v>23</v>
      </c>
      <c r="F347" s="2">
        <f>DATE(2025,2,5)+TIME(8,19,54)</f>
        <v>45693.34715277778</v>
      </c>
      <c r="G347" s="7" t="s">
        <v>38</v>
      </c>
      <c r="H347" s="11">
        <v>100</v>
      </c>
      <c r="I347" s="11">
        <v>100</v>
      </c>
      <c r="J347" s="7" t="s">
        <v>39</v>
      </c>
      <c r="K347" s="7" t="s">
        <v>48</v>
      </c>
      <c r="L347" s="7"/>
    </row>
    <row r="348" spans="1:12" ht="11.25">
      <c r="A348" s="12" t="s">
        <v>951</v>
      </c>
      <c r="B348" s="8" t="s">
        <v>952</v>
      </c>
      <c r="C348" s="8" t="s">
        <v>61</v>
      </c>
      <c r="D348" s="8" t="s">
        <v>37</v>
      </c>
      <c r="E348" s="8" t="s">
        <v>25</v>
      </c>
      <c r="F348" s="4">
        <f>DATE(2025,4,11)+TIME(17,36,11)</f>
        <v>45758.733460648145</v>
      </c>
      <c r="G348" s="8" t="s">
        <v>38</v>
      </c>
      <c r="H348" s="13">
        <v>0</v>
      </c>
      <c r="I348" s="13">
        <v>150</v>
      </c>
      <c r="J348" s="8" t="s">
        <v>39</v>
      </c>
      <c r="K348" s="8" t="s">
        <v>40</v>
      </c>
      <c r="L348" s="8"/>
    </row>
    <row r="349" spans="1:12" ht="11.25">
      <c r="A349" s="10" t="s">
        <v>953</v>
      </c>
      <c r="B349" s="7" t="s">
        <v>954</v>
      </c>
      <c r="C349" s="7" t="s">
        <v>955</v>
      </c>
      <c r="D349" s="7" t="s">
        <v>37</v>
      </c>
      <c r="E349" s="7" t="s">
        <v>25</v>
      </c>
      <c r="F349" s="2">
        <f>DATE(2025,3,4)+TIME(16,14,11)</f>
        <v>45720.676516203705</v>
      </c>
      <c r="G349" s="7" t="s">
        <v>38</v>
      </c>
      <c r="H349" s="11">
        <v>150</v>
      </c>
      <c r="I349" s="11">
        <v>150</v>
      </c>
      <c r="J349" s="7" t="s">
        <v>39</v>
      </c>
      <c r="K349" s="7" t="s">
        <v>40</v>
      </c>
      <c r="L349" s="7"/>
    </row>
    <row r="350" spans="1:12" ht="11.25">
      <c r="A350" s="12" t="s">
        <v>956</v>
      </c>
      <c r="B350" s="8" t="s">
        <v>957</v>
      </c>
      <c r="C350" s="8"/>
      <c r="D350" s="8" t="s">
        <v>37</v>
      </c>
      <c r="E350" s="8" t="s">
        <v>27</v>
      </c>
      <c r="F350" s="4">
        <f>DATE(2025,4,10)+TIME(16,8,34)</f>
        <v>45757.67261574074</v>
      </c>
      <c r="G350" s="8"/>
      <c r="H350" s="13">
        <v>350</v>
      </c>
      <c r="I350" s="13">
        <v>350</v>
      </c>
      <c r="J350" s="8" t="s">
        <v>39</v>
      </c>
      <c r="K350" s="8" t="s">
        <v>40</v>
      </c>
      <c r="L350" s="8"/>
    </row>
    <row r="351" spans="1:12" ht="11.25">
      <c r="A351" s="10" t="s">
        <v>958</v>
      </c>
      <c r="B351" s="7" t="s">
        <v>959</v>
      </c>
      <c r="C351" s="7" t="s">
        <v>960</v>
      </c>
      <c r="D351" s="7" t="s">
        <v>37</v>
      </c>
      <c r="E351" s="7" t="s">
        <v>23</v>
      </c>
      <c r="F351" s="2">
        <f>DATE(2025,1,30)+TIME(8,53,16)</f>
        <v>45687.37032407407</v>
      </c>
      <c r="G351" s="7" t="s">
        <v>38</v>
      </c>
      <c r="H351" s="11">
        <v>450</v>
      </c>
      <c r="I351" s="11">
        <v>450</v>
      </c>
      <c r="J351" s="7" t="s">
        <v>39</v>
      </c>
      <c r="K351" s="7" t="s">
        <v>40</v>
      </c>
      <c r="L351" s="7"/>
    </row>
    <row r="352" spans="1:12" ht="11.25">
      <c r="A352" s="12" t="s">
        <v>961</v>
      </c>
      <c r="B352" s="8" t="s">
        <v>962</v>
      </c>
      <c r="C352" s="8" t="s">
        <v>963</v>
      </c>
      <c r="D352" s="8" t="s">
        <v>37</v>
      </c>
      <c r="E352" s="8" t="s">
        <v>23</v>
      </c>
      <c r="F352" s="4">
        <f>DATE(2025,3,20)+TIME(19,1,17)</f>
        <v>45736.79255787037</v>
      </c>
      <c r="G352" s="8" t="s">
        <v>154</v>
      </c>
      <c r="H352" s="13">
        <v>550</v>
      </c>
      <c r="I352" s="13">
        <v>550</v>
      </c>
      <c r="J352" s="8" t="s">
        <v>39</v>
      </c>
      <c r="K352" s="8" t="s">
        <v>40</v>
      </c>
      <c r="L352" s="8"/>
    </row>
    <row r="353" spans="1:12" ht="11.25">
      <c r="A353" s="10" t="s">
        <v>964</v>
      </c>
      <c r="B353" s="7" t="s">
        <v>965</v>
      </c>
      <c r="C353" s="7" t="s">
        <v>966</v>
      </c>
      <c r="D353" s="7" t="s">
        <v>37</v>
      </c>
      <c r="E353" s="7" t="s">
        <v>23</v>
      </c>
      <c r="F353" s="2">
        <f>DATE(2025,3,24)+TIME(18,41,27)</f>
        <v>45740.77878472222</v>
      </c>
      <c r="G353" s="7" t="s">
        <v>38</v>
      </c>
      <c r="H353" s="11">
        <v>120</v>
      </c>
      <c r="I353" s="11">
        <v>120</v>
      </c>
      <c r="J353" s="7" t="s">
        <v>39</v>
      </c>
      <c r="K353" s="7" t="s">
        <v>48</v>
      </c>
      <c r="L353" s="7"/>
    </row>
    <row r="354" spans="1:12" ht="11.25">
      <c r="A354" s="12" t="s">
        <v>967</v>
      </c>
      <c r="B354" s="8" t="s">
        <v>968</v>
      </c>
      <c r="C354" s="8" t="s">
        <v>969</v>
      </c>
      <c r="D354" s="8" t="s">
        <v>37</v>
      </c>
      <c r="E354" s="8" t="s">
        <v>27</v>
      </c>
      <c r="F354" s="4">
        <f>DATE(2025,3,22)+TIME(11,37,58)</f>
        <v>45738.48469907408</v>
      </c>
      <c r="G354" s="8" t="s">
        <v>38</v>
      </c>
      <c r="H354" s="13">
        <v>370</v>
      </c>
      <c r="I354" s="13">
        <v>370</v>
      </c>
      <c r="J354" s="8" t="s">
        <v>39</v>
      </c>
      <c r="K354" s="8" t="s">
        <v>40</v>
      </c>
      <c r="L354" s="8"/>
    </row>
    <row r="355" spans="1:12" ht="11.25">
      <c r="A355" s="10" t="s">
        <v>970</v>
      </c>
      <c r="B355" s="7" t="s">
        <v>971</v>
      </c>
      <c r="C355" s="7" t="s">
        <v>972</v>
      </c>
      <c r="D355" s="7" t="s">
        <v>37</v>
      </c>
      <c r="E355" s="7" t="s">
        <v>28</v>
      </c>
      <c r="F355" s="2">
        <f>DATE(2025,4,11)+TIME(11,57,47)</f>
        <v>45758.498460648145</v>
      </c>
      <c r="G355" s="7" t="s">
        <v>38</v>
      </c>
      <c r="H355" s="11">
        <v>250</v>
      </c>
      <c r="I355" s="11">
        <v>250</v>
      </c>
      <c r="J355" s="7" t="s">
        <v>39</v>
      </c>
      <c r="K355" s="7" t="s">
        <v>40</v>
      </c>
      <c r="L355" s="7"/>
    </row>
    <row r="356" spans="1:12" ht="11.25">
      <c r="A356" s="12" t="s">
        <v>973</v>
      </c>
      <c r="B356" s="8" t="s">
        <v>974</v>
      </c>
      <c r="C356" s="8" t="s">
        <v>123</v>
      </c>
      <c r="D356" s="8" t="s">
        <v>37</v>
      </c>
      <c r="E356" s="8" t="s">
        <v>28</v>
      </c>
      <c r="F356" s="4">
        <f>DATE(2025,3,14)+TIME(15,46,2)</f>
        <v>45730.65696759259</v>
      </c>
      <c r="G356" s="8" t="s">
        <v>38</v>
      </c>
      <c r="H356" s="13">
        <v>0</v>
      </c>
      <c r="I356" s="13">
        <v>250</v>
      </c>
      <c r="J356" s="8" t="s">
        <v>39</v>
      </c>
      <c r="K356" s="8" t="s">
        <v>40</v>
      </c>
      <c r="L356" s="8" t="s">
        <v>38</v>
      </c>
    </row>
    <row r="357" spans="1:12" ht="11.25">
      <c r="A357" s="10" t="s">
        <v>975</v>
      </c>
      <c r="B357" s="7" t="s">
        <v>976</v>
      </c>
      <c r="C357" s="7" t="s">
        <v>302</v>
      </c>
      <c r="D357" s="7" t="s">
        <v>37</v>
      </c>
      <c r="E357" s="7" t="s">
        <v>28</v>
      </c>
      <c r="F357" s="2">
        <f>DATE(2025,2,4)+TIME(16,1,22)</f>
        <v>45692.66761574074</v>
      </c>
      <c r="G357" s="7" t="s">
        <v>38</v>
      </c>
      <c r="H357" s="11">
        <v>0</v>
      </c>
      <c r="I357" s="11">
        <v>250</v>
      </c>
      <c r="J357" s="7" t="s">
        <v>39</v>
      </c>
      <c r="K357" s="7" t="s">
        <v>40</v>
      </c>
      <c r="L357" s="7"/>
    </row>
    <row r="358" spans="1:12" ht="11.25">
      <c r="A358" s="12" t="s">
        <v>977</v>
      </c>
      <c r="B358" s="8" t="s">
        <v>978</v>
      </c>
      <c r="C358" s="8" t="s">
        <v>979</v>
      </c>
      <c r="D358" s="8" t="s">
        <v>37</v>
      </c>
      <c r="E358" s="8" t="s">
        <v>23</v>
      </c>
      <c r="F358" s="4">
        <f>DATE(2025,4,10)+TIME(18,35,27)</f>
        <v>45757.774618055555</v>
      </c>
      <c r="G358" s="8" t="s">
        <v>38</v>
      </c>
      <c r="H358" s="13">
        <v>100</v>
      </c>
      <c r="I358" s="13">
        <v>100</v>
      </c>
      <c r="J358" s="8" t="s">
        <v>39</v>
      </c>
      <c r="K358" s="8" t="s">
        <v>48</v>
      </c>
      <c r="L358" s="8"/>
    </row>
    <row r="359" spans="1:12" ht="11.25">
      <c r="A359" s="10" t="s">
        <v>980</v>
      </c>
      <c r="B359" s="7" t="s">
        <v>981</v>
      </c>
      <c r="C359" s="7" t="s">
        <v>982</v>
      </c>
      <c r="D359" s="7" t="s">
        <v>37</v>
      </c>
      <c r="E359" s="7" t="s">
        <v>23</v>
      </c>
      <c r="F359" s="2">
        <f>DATE(2025,2,2)+TIME(1,7,48)</f>
        <v>45690.04708333333</v>
      </c>
      <c r="G359" s="7" t="s">
        <v>384</v>
      </c>
      <c r="H359" s="11">
        <v>0</v>
      </c>
      <c r="I359" s="11">
        <v>650</v>
      </c>
      <c r="J359" s="7" t="s">
        <v>39</v>
      </c>
      <c r="K359" s="7" t="s">
        <v>40</v>
      </c>
      <c r="L359" s="7"/>
    </row>
    <row r="360" spans="1:12" ht="11.25">
      <c r="A360" s="12" t="s">
        <v>983</v>
      </c>
      <c r="B360" s="8" t="s">
        <v>984</v>
      </c>
      <c r="C360" s="8" t="s">
        <v>985</v>
      </c>
      <c r="D360" s="8" t="s">
        <v>37</v>
      </c>
      <c r="E360" s="8" t="s">
        <v>24</v>
      </c>
      <c r="F360" s="4">
        <f>DATE(2025,4,13)+TIME(18,21,4)</f>
        <v>45760.76462962963</v>
      </c>
      <c r="G360" s="8" t="s">
        <v>38</v>
      </c>
      <c r="H360" s="13">
        <v>0</v>
      </c>
      <c r="I360" s="13">
        <v>0</v>
      </c>
      <c r="J360" s="8" t="s">
        <v>39</v>
      </c>
      <c r="K360" s="8" t="s">
        <v>40</v>
      </c>
      <c r="L360" s="8" t="s">
        <v>38</v>
      </c>
    </row>
    <row r="361" spans="1:12" ht="11.25">
      <c r="A361" s="10" t="s">
        <v>986</v>
      </c>
      <c r="B361" s="7" t="s">
        <v>987</v>
      </c>
      <c r="C361" s="7" t="s">
        <v>95</v>
      </c>
      <c r="D361" s="7" t="s">
        <v>37</v>
      </c>
      <c r="E361" s="7" t="s">
        <v>26</v>
      </c>
      <c r="F361" s="2">
        <f>DATE(2024,11,19)+TIME(16,11,43)</f>
        <v>45615.67480324074</v>
      </c>
      <c r="G361" s="7" t="s">
        <v>38</v>
      </c>
      <c r="H361" s="11">
        <v>0</v>
      </c>
      <c r="I361" s="11">
        <v>0</v>
      </c>
      <c r="J361" s="7" t="s">
        <v>39</v>
      </c>
      <c r="K361" s="7" t="s">
        <v>40</v>
      </c>
      <c r="L361" s="7"/>
    </row>
  </sheetData>
  <hyperlinks>
    <hyperlink ref="A1" location="'Event Information'!A1" display="Back to Table of Contents"/>
    <hyperlink ref="A5" r:id="rId1" display="Abdalla, Sarah"/>
    <hyperlink ref="A6" r:id="rId2" display="Abdulazeez, Rislana Kanya"/>
    <hyperlink ref="A7" r:id="rId3" display="Adams, Rachel"/>
    <hyperlink ref="A8" r:id="rId4" display="Aderholdt, William"/>
    <hyperlink ref="A9" r:id="rId5" display="Adhikari, Madhusudhan"/>
    <hyperlink ref="A10" r:id="rId6" display="Agbonlahor, Mure"/>
    <hyperlink ref="A11" r:id="rId7" display="Aich, Nirupam"/>
    <hyperlink ref="A12" r:id="rId8" display="Ajaz, Ali"/>
    <hyperlink ref="A13" r:id="rId9" display="Akasheh, Sammy"/>
    <hyperlink ref="A14" r:id="rId10" display="Al Razaq, Zanib"/>
    <hyperlink ref="A15" r:id="rId11" display="Alayidi, Ahmed"/>
    <hyperlink ref="A16" r:id="rId12" display="Allmon, Christine"/>
    <hyperlink ref="A17" r:id="rId13" display="Aloqaili, Sadeem"/>
    <hyperlink ref="A18" r:id="rId14" display="Alves da Silva, Marcos Geraldo"/>
    <hyperlink ref="A19" r:id="rId15" display="Alves Machado, Alexandrina"/>
    <hyperlink ref="A20" r:id="rId16" display="Alves, Italo"/>
    <hyperlink ref="A21" r:id="rId17" display="Alves, Maria Emilia"/>
    <hyperlink ref="A22" r:id="rId18" display="Amori, Precious"/>
    <hyperlink ref="A23" r:id="rId19" display="Anders, Erin"/>
    <hyperlink ref="A24" r:id="rId20" display="Anderson, Ryan"/>
    <hyperlink ref="A25" r:id="rId21" display="Appelt Martins, Suri"/>
    <hyperlink ref="A26" r:id="rId22" display="Appelt, Joice"/>
    <hyperlink ref="A27" r:id="rId23" display="Araujo Melo, Thalles"/>
    <hyperlink ref="A28" r:id="rId24" display="Araujo, Glauciana"/>
    <hyperlink ref="A29" r:id="rId25" display="Araz, Ozgur"/>
    <hyperlink ref="A30" r:id="rId26" display="Armstrong, Cory"/>
    <hyperlink ref="A31" r:id="rId27" display="Ashford, Molly"/>
    <hyperlink ref="A32" r:id="rId28" display="Atif, Atiqullah"/>
    <hyperlink ref="A33" r:id="rId29" display="Awada, Tala"/>
    <hyperlink ref="A34" r:id="rId30" display="Balboa, Guillermo"/>
    <hyperlink ref="A35" r:id="rId31" display="Balschweid, Mark"/>
    <hyperlink ref="A36" r:id="rId32" display="Banda, Mavuto"/>
    <hyperlink ref="A37" r:id="rId33" display="Barron, Jennie"/>
    <hyperlink ref="A38" r:id="rId34" display="Bartelt-Hunt, Shannon"/>
    <hyperlink ref="A39" r:id="rId35" display="Basche, Andrea"/>
    <hyperlink ref="A40" r:id="rId36" display="Bay, Mogens"/>
    <hyperlink ref="A41" r:id="rId37" display="Beck, Sydney"/>
    <hyperlink ref="A42" r:id="rId38" display="Beegum, Sahila"/>
    <hyperlink ref="A43" r:id="rId39" display="Begum, Afruja"/>
    <hyperlink ref="A44" r:id="rId40" display="Bell, Jesse"/>
    <hyperlink ref="A45" r:id="rId41" display="Berkland, Richard"/>
    <hyperlink ref="A46" r:id="rId42" display="Berthold, Allen"/>
    <hyperlink ref="A47" r:id="rId43" display="Birru, Girma"/>
    <hyperlink ref="A48" r:id="rId44" display="Bispo, Regiane"/>
    <hyperlink ref="A49" r:id="rId45" display="Blankenau, Daniel"/>
    <hyperlink ref="A50" r:id="rId46" display="Bledsoe, Demetrius"/>
    <hyperlink ref="A51" r:id="rId47" display="Boddupalli, Prasanna"/>
    <hyperlink ref="A52" r:id="rId48" display="Bodlak, Lexi"/>
    <hyperlink ref="A53" r:id="rId49" display="Boehm, Mike"/>
    <hyperlink ref="A54" r:id="rId50" display="Boldt, Alan"/>
    <hyperlink ref="A55" r:id="rId51" display="Bolin, Kimberly"/>
    <hyperlink ref="A56" r:id="rId52" display="Boncompani, Andre"/>
    <hyperlink ref="A57" r:id="rId53" display="Borges, Jose Mauricio"/>
    <hyperlink ref="A58" r:id="rId54" display="Boroto, Ruhiza Jean"/>
    <hyperlink ref="A59" r:id="rId55" display="Boyce, Alex"/>
    <hyperlink ref="A60" r:id="rId56" display="Briggs, Ann"/>
    <hyperlink ref="A61" r:id="rId57" display="Brison, Thomas"/>
    <hyperlink ref="A62" r:id="rId58" display="Britto Siqueira, Alessio"/>
    <hyperlink ref="A63" r:id="rId59" display="Brozovic, Nick"/>
    <hyperlink ref="A64" r:id="rId60" display="Bruckner, Brian"/>
    <hyperlink ref="A65" r:id="rId61" display="Bruns, Kelly"/>
    <hyperlink ref="A66" r:id="rId62" display="Burbach, Mark"/>
    <hyperlink ref="A67" r:id="rId63" display="Calegare, Liana"/>
    <hyperlink ref="A68" r:id="rId64" display="CARBAJAL GUERRERO, ALBERTO CARLOS"/>
    <hyperlink ref="A69" r:id="rId65" display="Castro-Garcia, Gustavo"/>
    <hyperlink ref="A70" r:id="rId66" display="Chaffey, Wayne"/>
    <hyperlink ref="A71" r:id="rId67" display="Chandra, Ankit"/>
    <hyperlink ref="A72" r:id="rId68" display="Ciftci, Ozan"/>
    <hyperlink ref="A73" r:id="rId69" display="Cloud, Lorelei"/>
    <hyperlink ref="A74" r:id="rId70" display="Cluver, Karin"/>
    <hyperlink ref="A75" r:id="rId71" display="Cobbing, Jude"/>
    <hyperlink ref="A76" r:id="rId72" display="Collins, Kalley"/>
    <hyperlink ref="A77" r:id="rId73" display="Correll, Taylor"/>
    <hyperlink ref="A78" r:id="rId74" display="Cotter-Vardeman, Lacy"/>
    <hyperlink ref="A79" r:id="rId75" display="Cougher, John"/>
    <hyperlink ref="A80" r:id="rId76" display="Critelli, Jamie"/>
    <hyperlink ref="A81" r:id="rId77" display="Cude, Curtis"/>
    <hyperlink ref="A82" r:id="rId78" display="da Silva, Regislaine"/>
    <hyperlink ref="A83" r:id="rId79" display="Dahoun, Rym"/>
    <hyperlink ref="A84" r:id="rId80" display="Daigh, Aaron"/>
    <hyperlink ref="A85" r:id="rId81" display="Dare, Anne"/>
    <hyperlink ref="A86" r:id="rId82" display="Daroub, Samira"/>
    <hyperlink ref="A87" r:id="rId83" display="David, Mugenyi"/>
    <hyperlink ref="A88" r:id="rId84" display="Davidson, Michael"/>
    <hyperlink ref="A89" r:id="rId85" display="DE LARA PIRES, PAULO DE TARSO"/>
    <hyperlink ref="A90" r:id="rId86" display="Decker, Elanore"/>
    <hyperlink ref="A91" r:id="rId87" display="Delaney, Anthony"/>
    <hyperlink ref="A92" r:id="rId88" display="Deppert, Quinton"/>
    <hyperlink ref="A93" r:id="rId89" display="Deuerling, Kelly"/>
    <hyperlink ref="A94" r:id="rId90" display="Dowell, Lyndsey"/>
    <hyperlink ref="A95" r:id="rId91" display="Dugnani, Dhone"/>
    <hyperlink ref="A96" r:id="rId92" display="Duisebek, Baktybek"/>
    <hyperlink ref="A97" r:id="rId93" display="DWUMFOUR, KWASI OHENE"/>
    <hyperlink ref="A98" r:id="rId94" display="Egbuchiem, Alex"/>
    <hyperlink ref="A99" r:id="rId95" display="Ei Phyoe, Pan Ei"/>
    <hyperlink ref="A100" r:id="rId96" display="Eiting, Craig"/>
    <hyperlink ref="A101" r:id="rId97" display="Eiting2, Craig"/>
    <hyperlink ref="A102" r:id="rId98" display="Elnes, Arianna"/>
    <hyperlink ref="A103" r:id="rId99" display="ETGEN, JOHN"/>
    <hyperlink ref="A104" r:id="rId100" display="Eujayl, Imad"/>
    <hyperlink ref="A105" r:id="rId101" display="Ferguson, Richard"/>
    <hyperlink ref="A106" r:id="rId102" display="Ferreira, Gustavo"/>
    <hyperlink ref="A107" r:id="rId103" display="Finger, Maria Isabel"/>
    <hyperlink ref="A108" r:id="rId104" display="Florell, Melissa"/>
    <hyperlink ref="A109" r:id="rId105" display="Fontana Klein, Greice Kelli"/>
    <hyperlink ref="A110" r:id="rId106" display="Fortner, Nathan"/>
    <hyperlink ref="A111" r:id="rId107" display="Fossum, Britt"/>
    <hyperlink ref="A112" r:id="rId108" display="Foster, Tim"/>
    <hyperlink ref="A113" r:id="rId109" display="Fowle, Colleen"/>
    <hyperlink ref="A114" r:id="rId110" display="Fritton, Jacob"/>
    <hyperlink ref="A115" r:id="rId111" display="Gates, John"/>
    <hyperlink ref="A116" r:id="rId112" display="Ghimire, Nav"/>
    <hyperlink ref="A117" r:id="rId113" display="Gholson, Drew"/>
    <hyperlink ref="A118" r:id="rId114" display="Giannakas, Konstantinos"/>
    <hyperlink ref="A119" r:id="rId115" display="Gibson, Justin"/>
    <hyperlink ref="A120" r:id="rId116" display="Gillespie, Matthew"/>
    <hyperlink ref="A121" r:id="rId117" display="Ginsburg, Chloe"/>
    <hyperlink ref="A122" r:id="rId118" display="Giri, Dipesh"/>
    <hyperlink ref="A123" r:id="rId119" display="Gomes, Osmar Luiz"/>
    <hyperlink ref="A124" r:id="rId120" display="Goswami, Shubham"/>
    <hyperlink ref="A125" r:id="rId121" display="Grasssini, Patricio"/>
    <hyperlink ref="A126" r:id="rId122" display="Gribben, Kelli"/>
    <hyperlink ref="A127" r:id="rId123" display="Guira, Moussa"/>
    <hyperlink ref="A128" r:id="rId124" display="Gurung, Tika"/>
    <hyperlink ref="A129" r:id="rId125" display="Haacker, Erin"/>
    <hyperlink ref="A130" r:id="rId126" display="Hafeez, Mohsin"/>
    <hyperlink ref="A131" r:id="rId127" display="Hamad, Seifeldin"/>
    <hyperlink ref="A132" r:id="rId128" display="Hamm, Nik"/>
    <hyperlink ref="A133" r:id="rId129" display="Hampton, Brett"/>
    <hyperlink ref="A134" r:id="rId130" display="Hanthorn, Mary Anne"/>
    <hyperlink ref="A135" r:id="rId131" display="Hasan, Rimsha"/>
    <hyperlink ref="A136" r:id="rId132" display="Hayes, Frances"/>
    <hyperlink ref="A137" r:id="rId133" display="Hayes, Michael"/>
    <hyperlink ref="A138" r:id="rId134" display="Hazra, Moushumi"/>
    <hyperlink ref="A139" r:id="rId135" display="Heeren, Derek"/>
    <hyperlink ref="A140" r:id="rId136" display="Heng-Moss, Tiffany"/>
    <hyperlink ref="A141" r:id="rId137" display="Hernandez, Noe"/>
    <hyperlink ref="A142" r:id="rId138" display="Herpel, Rachael"/>
    <hyperlink ref="A143" r:id="rId139" display="Hersaa, Andreas"/>
    <hyperlink ref="A144" r:id="rId140" display="Hickle, Katie"/>
    <hyperlink ref="A145" r:id="rId141" display="Hicks, Paul"/>
    <hyperlink ref="A146" r:id="rId142" display="Hill, Nicole"/>
    <hyperlink ref="A147" r:id="rId143" display="Hotze, Matt"/>
    <hyperlink ref="A148" r:id="rId144" display="hubbard, anne"/>
    <hyperlink ref="A149" r:id="rId145" display="Hunnicutt, Brandon"/>
    <hyperlink ref="A150" r:id="rId146" display="Hutchcraft-May, Brea"/>
    <hyperlink ref="A151" r:id="rId147" display="Ibach, Greg"/>
    <hyperlink ref="A152" r:id="rId148" display="Ibrahim, Samir"/>
    <hyperlink ref="A153" r:id="rId149" display="Iqbal, Javed"/>
    <hyperlink ref="A154" r:id="rId150" display="Ishag, Moaz"/>
    <hyperlink ref="A155" r:id="rId151" display="Isom, Loren"/>
    <hyperlink ref="A156" r:id="rId152" display="Jackson, Mariah"/>
    <hyperlink ref="A157" r:id="rId153" display="Jacobson, Dale"/>
    <hyperlink ref="A158" r:id="rId154" display="Jayasekera, Deshamithra"/>
    <hyperlink ref="A159" r:id="rId155" display="Jimenez Beato, Patricia"/>
    <hyperlink ref="A160" r:id="rId156" display="Johnson, Dave"/>
    <hyperlink ref="A161" r:id="rId157" display="Johnson, Erik"/>
    <hyperlink ref="A162" r:id="rId158" display="Jones, Rena"/>
    <hyperlink ref="A163" r:id="rId159" display="Julio Gatto, Danilo"/>
    <hyperlink ref="A164" r:id="rId160" display="Kabelac, Zach"/>
    <hyperlink ref="A165" r:id="rId161" display="Kapoor, Aditya"/>
    <hyperlink ref="A166" r:id="rId162" display="KARTHIK, BURRA"/>
    <hyperlink ref="A167" r:id="rId163" display="Katimbo, Abia"/>
    <hyperlink ref="A168" r:id="rId164" display="Keough, Adam"/>
    <hyperlink ref="A169" r:id="rId165" display="Khorchani, Makki"/>
    <hyperlink ref="A170" r:id="rId166" display="Kiersch, Benjamin"/>
    <hyperlink ref="A171" r:id="rId167" display="Kintziger, Kristina"/>
    <hyperlink ref="A172" r:id="rId168" display="KRAUSNICK, MARIE"/>
    <hyperlink ref="A173" r:id="rId169" display="Kudary, Mounika"/>
    <hyperlink ref="A174" r:id="rId170" display="Kumar, Chandan"/>
    <hyperlink ref="A175" r:id="rId171" display="Kyei, Isaac"/>
    <hyperlink ref="A176" r:id="rId172" display="Lal, Ishani"/>
    <hyperlink ref="A177" r:id="rId173" display="Lambe, Dave"/>
    <hyperlink ref="A178" r:id="rId174" display="LaPointe, Aaron"/>
    <hyperlink ref="A179" r:id="rId175" display="Larson, Ashley"/>
    <hyperlink ref="A180" r:id="rId176" display="Lawson, Robert"/>
    <hyperlink ref="A181" r:id="rId177" display="Lefore, Nicole"/>
    <hyperlink ref="A182" r:id="rId178" display="Leigh, Debra"/>
    <hyperlink ref="A183" r:id="rId179" display="lele, uma"/>
    <hyperlink ref="A184" r:id="rId180" display="Liedle, Tricia"/>
    <hyperlink ref="A185" r:id="rId181" display="Lorena, Luciana"/>
    <hyperlink ref="A186" r:id="rId182" display="Loschi, Hilda Andrea"/>
    <hyperlink ref="A187" r:id="rId183" display="Luck, Joe"/>
    <hyperlink ref="A188" r:id="rId184" display="M Mudhara, Maxwell"/>
    <hyperlink ref="A189" r:id="rId185" display="Mabhaudhi, Tafadzwa"/>
    <hyperlink ref="A190" r:id="rId186" display="Magnusson, Brian"/>
    <hyperlink ref="A191" r:id="rId187" display="Malakar, Arindam"/>
    <hyperlink ref="A192" r:id="rId188" display="Malecek, Steven"/>
    <hyperlink ref="A193" r:id="rId189" display="Mamo, Martha"/>
    <hyperlink ref="A194" r:id="rId190" display="Mantovani, Everardo"/>
    <hyperlink ref="A195" r:id="rId191" display="Maranga, Lydiah"/>
    <hyperlink ref="A196" r:id="rId192" display="Marcos, Luis"/>
    <hyperlink ref="A197" r:id="rId193" display="Marcus, Felicia"/>
    <hyperlink ref="A198" r:id="rId194" display="Martin, Tyler"/>
    <hyperlink ref="A199" r:id="rId195" display="MARTINEZ SALGADO, MARIANA"/>
    <hyperlink ref="A200" r:id="rId196" display="Masih, Ashish"/>
    <hyperlink ref="A201" r:id="rId197" display="Masih, Ashish"/>
    <hyperlink ref="A202" r:id="rId198" display="Matlock, Marty"/>
    <hyperlink ref="A203" r:id="rId199" display="Matthews, Darryl"/>
    <hyperlink ref="A204" r:id="rId200" display="McCornick, Peter"/>
    <hyperlink ref="A205" r:id="rId201" display="McCullough-Sanden, Blake"/>
    <hyperlink ref="A206" r:id="rId202" display="McLean, Derek"/>
    <hyperlink ref="A207" r:id="rId203" display="Meaney, Robert"/>
    <hyperlink ref="A208" r:id="rId204" display="Means, Janet"/>
    <hyperlink ref="A209" r:id="rId205" display="Melvin, Steve"/>
    <hyperlink ref="A210" r:id="rId206" display="Mengarda, Rodolfo"/>
    <hyperlink ref="A211" r:id="rId207" display="Mengarda, Rodolfo"/>
    <hyperlink ref="A212" r:id="rId208" display="Merrey, Doug"/>
    <hyperlink ref="A213" r:id="rId209" display="Meusch, Tony"/>
    <hyperlink ref="A214" r:id="rId210" display="Mick, John"/>
    <hyperlink ref="A215" r:id="rId211" display="Mishra, Shreesha"/>
    <hyperlink ref="A216" r:id="rId212" display="Mitchell, Wayne"/>
    <hyperlink ref="A217" r:id="rId213" display="Mitra, Alakananda"/>
    <hyperlink ref="A218" r:id="rId214" display="Mittelstet, Aaron"/>
    <hyperlink ref="A219" r:id="rId215" display="Mohtar, rabi"/>
    <hyperlink ref="A220" r:id="rId216" display="Moreland, Katherine"/>
    <hyperlink ref="A221" r:id="rId217" display="Motschenbacher, Jill"/>
    <hyperlink ref="A222" r:id="rId218" display="Mthombeni, Raphael"/>
    <hyperlink ref="A223" r:id="rId219" display="MUDDU, Sekhar"/>
    <hyperlink ref="A224" r:id="rId220" display="Mugwanya, Nassib"/>
    <hyperlink ref="A225" r:id="rId221" display="Muller, Shabani"/>
    <hyperlink ref="A226" r:id="rId222" display="Munoz-Arriola, Francisco"/>
    <hyperlink ref="A227" r:id="rId223" display="Munyaneza, David"/>
    <hyperlink ref="A228" r:id="rId224" display="Murias Jardim, Thais"/>
    <hyperlink ref="A229" r:id="rId225" display="NADIRADZE, Dr. Kakha"/>
    <hyperlink ref="A230" r:id="rId226" display="Nagengast, Laura"/>
    <hyperlink ref="A231" r:id="rId227" display="Nakabuye, Hope Njuki"/>
    <hyperlink ref="A232" r:id="rId228" display="Nance, Molly"/>
    <hyperlink ref="A233" r:id="rId229" display="Nangia, Vinay"/>
    <hyperlink ref="A234" r:id="rId230" display="Nascimento, Thais"/>
    <hyperlink ref="A235" r:id="rId231" display="Neale, Christopher"/>
    <hyperlink ref="A236" r:id="rId232" display="Oguro, Shohei"/>
    <hyperlink ref="A237" r:id="rId233" display="Olupathage, Harshana"/>
    <hyperlink ref="A238" r:id="rId234" display="Oppong Danso, Eric"/>
    <hyperlink ref="A239" r:id="rId235" display="Ortega, Richard"/>
    <hyperlink ref="A240" r:id="rId236" display="Ortiz Balsero, Andrew Stiven"/>
    <hyperlink ref="A241" r:id="rId237" display="Osgood, Daniel"/>
    <hyperlink ref="A242" r:id="rId238" display="Ourada, Jackie"/>
    <hyperlink ref="A243" r:id="rId239" display="Parisoto, Greici"/>
    <hyperlink ref="A244" r:id="rId240" display="Pasman, Martin"/>
    <hyperlink ref="A245" r:id="rId241" display="Patias Lena, Bruno"/>
    <hyperlink ref="A246" r:id="rId242" display="Paulman, Roric"/>
    <hyperlink ref="A247" r:id="rId243" display="Pellenz Dugnani, Lia Fernanda"/>
    <hyperlink ref="A248" r:id="rId244" display="Peñate Trujillo, Carlos Armando"/>
    <hyperlink ref="A249" r:id="rId245" display="Peñate Trujillo, Karen Beatriz"/>
    <hyperlink ref="A250" r:id="rId246" display="Pereira Ramos, Mariana"/>
    <hyperlink ref="A251" r:id="rId247" display="Petenatti, Melina"/>
    <hyperlink ref="A252" r:id="rId248" display="Petersen, Ralf"/>
    <hyperlink ref="A253" r:id="rId249" display="Petroll, Rowena"/>
    <hyperlink ref="A254" r:id="rId250" display="Phan, Hanh"/>
    <hyperlink ref="A255" r:id="rId251" display="Piccinni, Giovanni"/>
    <hyperlink ref="A256" r:id="rId252" display="Pinho Tavares, Isadora"/>
    <hyperlink ref="A257" r:id="rId253" display="Pitla, Santosh"/>
    <hyperlink ref="A258" r:id="rId254" display="Piva, Luciana"/>
    <hyperlink ref="A259" r:id="rId255" display="Poetzl, Anni"/>
    <hyperlink ref="A260" r:id="rId256" display="Poland, Suzanne"/>
    <hyperlink ref="A261" r:id="rId257" display="Pope, Clay"/>
    <hyperlink ref="A262" r:id="rId258" display="Porto, Eneas"/>
    <hyperlink ref="A263" r:id="rId259" display="Powell, Larkin"/>
    <hyperlink ref="A264" r:id="rId260" display="Powers, Crystal"/>
    <hyperlink ref="A265" r:id="rId261" display="Poythress, Amber"/>
    <hyperlink ref="A266" r:id="rId262" display="Prates Martins, Deyver"/>
    <hyperlink ref="A267" r:id="rId263" display="Proctor, Chris"/>
    <hyperlink ref="A268" r:id="rId264" display="Prosser, Ed"/>
    <hyperlink ref="A269" r:id="rId265" display="Provaznik, Mary Kay"/>
    <hyperlink ref="A270" r:id="rId266" display="Quintana Ashwell, Nicolas"/>
    <hyperlink ref="A271" r:id="rId267" display="Rahman, Md Masudur"/>
    <hyperlink ref="A272" r:id="rId268" display="Raikes, Abbie"/>
    <hyperlink ref="A273" r:id="rId269" display="RAMIRES, ALLAN"/>
    <hyperlink ref="A274" r:id="rId270" display="Ramires, Geisikely"/>
    <hyperlink ref="A275" r:id="rId271" display="Ray, Chittaranjan"/>
    <hyperlink ref="A276" r:id="rId272" display="Redfearn, Daren"/>
    <hyperlink ref="A277" r:id="rId273" display="Reiners, Jay"/>
    <hyperlink ref="A278" r:id="rId274" display="Richardson, Gary"/>
    <hyperlink ref="A279" r:id="rId275" display="Rico, Daniel"/>
    <hyperlink ref="A280" r:id="rId276" display="Riera, Felix Sebastian"/>
    <hyperlink ref="A281" r:id="rId277" display="Rimsaite, Renata"/>
    <hyperlink ref="A282" r:id="rId278" display="Ringler, Claudia"/>
    <hyperlink ref="A283" r:id="rId279" display="Ritzema, Randall"/>
    <hyperlink ref="A284" r:id="rId280" display="Roberts, David"/>
    <hyperlink ref="A285" r:id="rId281" display="Robinson, Lily"/>
    <hyperlink ref="A286" r:id="rId282" display="Rock, Barbara"/>
    <hyperlink ref="A287" r:id="rId283" display="Rodrigues, Lineu"/>
    <hyperlink ref="A288" r:id="rId284" display="Rogan, Eleanor"/>
    <hyperlink ref="A289" r:id="rId285" display="Rudnick, Daran"/>
    <hyperlink ref="A290" r:id="rId286" display="Rudolph, Jessica"/>
    <hyperlink ref="A291" r:id="rId287" display="Russo, Tess"/>
    <hyperlink ref="A292" r:id="rId288" display="SALLAH, ANTOINETTE"/>
    <hyperlink ref="A293" r:id="rId289" display="Salomon, Abraham"/>
    <hyperlink ref="A294" r:id="rId290" display="Samci, Emmanuel"/>
    <hyperlink ref="A295" r:id="rId291" display="Sayde, Chadi"/>
    <hyperlink ref="A296" r:id="rId292" display="Scanlon, Bridget"/>
    <hyperlink ref="A297" r:id="rId293" display="Schlechte, Shirley"/>
    <hyperlink ref="A298" r:id="rId294" display="Schmitter, Petra"/>
    <hyperlink ref="A299" r:id="rId295" display="Schneider, Jim"/>
    <hyperlink ref="A300" r:id="rId296" display="Schoengold, Karina"/>
    <hyperlink ref="A301" r:id="rId297" display="Schoenmaker, David"/>
    <hyperlink ref="A302" r:id="rId298" display="Schreiner, Barbara"/>
    <hyperlink ref="A303" r:id="rId299" display="Sen, Rintu"/>
    <hyperlink ref="A304" r:id="rId300" display="Serrajordia, Pedro"/>
    <hyperlink ref="A305" r:id="rId301" display="Sharma, Saurabh"/>
    <hyperlink ref="A306" r:id="rId302" display="Sharmeen, Sadia"/>
    <hyperlink ref="A307" r:id="rId303" display="Siekman, Darren"/>
    <hyperlink ref="A308" r:id="rId304" display="Silva Carvalho, Julian"/>
    <hyperlink ref="A309" r:id="rId305" display="Silva, Robson"/>
    <hyperlink ref="A310" r:id="rId306" display="Singh, Anmol"/>
    <hyperlink ref="A311" r:id="rId307" display="Smith, Bonny"/>
    <hyperlink ref="A312" r:id="rId308" display="Smith, Kelly"/>
    <hyperlink ref="A313" r:id="rId309" display="Smith, Mark"/>
    <hyperlink ref="A314" r:id="rId310" display="Snow, Daniel"/>
    <hyperlink ref="A315" r:id="rId311" display="Sousek, Mike"/>
    <hyperlink ref="A316" r:id="rId312" display="Souza Ribeiro, Roberto Cezar"/>
    <hyperlink ref="A317" r:id="rId313" display="Stellbauer, Matt"/>
    <hyperlink ref="A318" r:id="rId314" display="Stenberg, Dave"/>
    <hyperlink ref="A319" r:id="rId315" display="Stone, Asa B."/>
    <hyperlink ref="A320" r:id="rId316" display="Sudbeck, Annette"/>
    <hyperlink ref="A321" r:id="rId317" display="Sunny, Bincy"/>
    <hyperlink ref="A322" r:id="rId318" display="Svoboda, Mark"/>
    <hyperlink ref="A323" r:id="rId319" display="Swanson, Justin"/>
    <hyperlink ref="A324" r:id="rId320" display="Taghvaeian, Saleh"/>
    <hyperlink ref="A325" r:id="rId321" display="Taiba, Jabeen"/>
    <hyperlink ref="A326" r:id="rId322" display="Teklay, Simon Ghebrehiwet"/>
    <hyperlink ref="A327" r:id="rId323" display="Thompson, Anita"/>
    <hyperlink ref="A328" r:id="rId324" display="Timmons-Sims, Tillery"/>
    <hyperlink ref="A329" r:id="rId325" display="Torpy, Katie"/>
    <hyperlink ref="A330" r:id="rId326" display="Troell, Jessica"/>
    <hyperlink ref="A331" r:id="rId327" display="TSEGAI, DANIEL"/>
    <hyperlink ref="A332" r:id="rId328" display="Tso, Cora"/>
    <hyperlink ref="A333" r:id="rId329" display="Uden, Dan"/>
    <hyperlink ref="A334" r:id="rId330" display="VanWormer, Liz"/>
    <hyperlink ref="A335" r:id="rId331" display="Velpuri, Naga"/>
    <hyperlink ref="A336" r:id="rId332" display="Vezzini, Andrea"/>
    <hyperlink ref="A337" r:id="rId333" display="Vidor Neto, Aldo Jose"/>
    <hyperlink ref="A338" r:id="rId334" display="Vigerstol, Kari"/>
    <hyperlink ref="A339" r:id="rId335" display="Vilela Cunha, Rafael"/>
    <hyperlink ref="A340" r:id="rId336" display="Vinton, Sherry"/>
    <hyperlink ref="A341" r:id="rId337" display="Viotto, Fabio"/>
    <hyperlink ref="A342" r:id="rId338" display="Vischi, Paulo Cesar"/>
    <hyperlink ref="A343" r:id="rId339" display="Vogt, Lyndon"/>
    <hyperlink ref="A344" r:id="rId340" display="Walia, Harkamal"/>
    <hyperlink ref="A345" r:id="rId341" display="Wall, Nicole"/>
    <hyperlink ref="A346" r:id="rId342" display="Wang, Yifan"/>
    <hyperlink ref="A347" r:id="rId343" display="Webber, Darci"/>
    <hyperlink ref="A348" r:id="rId344" display="Weber, Karrie"/>
    <hyperlink ref="A349" r:id="rId345" display="Wen, Qu"/>
    <hyperlink ref="A350" r:id="rId346" display="Werlang, Jordon"/>
    <hyperlink ref="A351" r:id="rId347" display="Wilhelm, John"/>
    <hyperlink ref="A352" r:id="rId348" display="Williamsen, Tom"/>
    <hyperlink ref="A353" r:id="rId349" display="Wilson, Karen"/>
    <hyperlink ref="A354" r:id="rId350" display="Wilson, Rick"/>
    <hyperlink ref="A355" r:id="rId351" display="Woollen, Neal"/>
    <hyperlink ref="A356" r:id="rId352" display="Yiannaka, Emie"/>
    <hyperlink ref="A357" r:id="rId353" display="Zahid, Muhammad"/>
    <hyperlink ref="A358" r:id="rId354" display="Zaveri, Esha"/>
    <hyperlink ref="A359" r:id="rId355" display="Zia, Ahmed"/>
    <hyperlink ref="A360" r:id="rId356" display="Zink, Tracy"/>
    <hyperlink ref="A361" r:id="rId357" display="Zution Goncalves, Ivo"/>
  </hyperlinks>
  <pageMargins left="0.75" right="0.75" top="1" bottom="1" header="0.5" footer="0.5"/>
  <pageSetup orientation="portrait"/>
  <headerFooter alignWithMargins="0"/>
  <tableParts>
    <tablePart r:id="rId35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